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moravcovai_kraj-jihocesky_cz/Documents/sociální portál/novy soc. portal/financujeme/NFV/"/>
    </mc:Choice>
  </mc:AlternateContent>
  <xr:revisionPtr revIDLastSave="0" documentId="8_{F2360F32-E20C-470B-A28F-6FD899381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et návrhu" sheetId="2" r:id="rId1"/>
  </sheets>
  <definedNames>
    <definedName name="_xlnm._FilterDatabase" localSheetId="0" hidden="1">'Výpočet návrhu'!$B$1:$J$139</definedName>
    <definedName name="_xlnm.Print_Titles" localSheetId="0">'Výpočet návrhu'!$1:$1</definedName>
    <definedName name="_xlnm.Print_Area" localSheetId="0">'Výpočet návrhu'!$B$1:$J$141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2" l="1"/>
  <c r="H138" i="2"/>
  <c r="H136" i="2"/>
  <c r="I136" i="2" s="1"/>
  <c r="H135" i="2"/>
  <c r="I135" i="2" s="1"/>
  <c r="H134" i="2"/>
  <c r="I134" i="2" s="1"/>
  <c r="H133" i="2"/>
  <c r="I133" i="2" s="1"/>
  <c r="H132" i="2"/>
  <c r="H130" i="2"/>
  <c r="H129" i="2"/>
  <c r="H128" i="2" l="1"/>
  <c r="H127" i="2"/>
  <c r="H126" i="2"/>
  <c r="H125" i="2"/>
  <c r="H124" i="2"/>
  <c r="H123" i="2" l="1"/>
  <c r="H122" i="2"/>
  <c r="H121" i="2"/>
  <c r="H120" i="2"/>
  <c r="H119" i="2"/>
  <c r="H118" i="2"/>
  <c r="H117" i="2"/>
  <c r="H116" i="2"/>
  <c r="H115" i="2"/>
  <c r="H114" i="2"/>
  <c r="H113" i="2"/>
  <c r="H112" i="2"/>
  <c r="H110" i="2"/>
  <c r="H108" i="2"/>
  <c r="H107" i="2"/>
  <c r="H106" i="2"/>
  <c r="H109" i="2"/>
  <c r="H111" i="2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66" i="2"/>
  <c r="H90" i="2" l="1"/>
  <c r="H92" i="2"/>
  <c r="H91" i="2"/>
  <c r="H89" i="2"/>
  <c r="H88" i="2"/>
  <c r="H87" i="2"/>
  <c r="H86" i="2"/>
  <c r="I86" i="2" s="1"/>
  <c r="H85" i="2"/>
  <c r="I85" i="2" s="1"/>
  <c r="H84" i="2"/>
  <c r="I84" i="2" s="1"/>
  <c r="H83" i="2"/>
  <c r="H81" i="2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69" i="2"/>
  <c r="H70" i="2"/>
  <c r="H71" i="2"/>
  <c r="H68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44" i="2"/>
  <c r="H29" i="2"/>
  <c r="H28" i="2"/>
  <c r="H45" i="2"/>
  <c r="H49" i="2"/>
  <c r="H48" i="2"/>
  <c r="H47" i="2"/>
  <c r="H46" i="2"/>
  <c r="H42" i="2"/>
  <c r="H41" i="2"/>
  <c r="H40" i="2"/>
  <c r="H39" i="2"/>
  <c r="H38" i="2"/>
  <c r="H37" i="2"/>
  <c r="H36" i="2"/>
  <c r="H35" i="2"/>
  <c r="H34" i="2"/>
  <c r="H43" i="2"/>
  <c r="H33" i="2"/>
  <c r="H32" i="2"/>
  <c r="H31" i="2"/>
  <c r="H30" i="2"/>
  <c r="H52" i="2"/>
  <c r="H12" i="2"/>
  <c r="H14" i="2"/>
  <c r="H13" i="2"/>
  <c r="H15" i="2"/>
  <c r="H11" i="2"/>
  <c r="H9" i="2"/>
  <c r="H10" i="2"/>
  <c r="H51" i="2"/>
  <c r="H50" i="2"/>
  <c r="H26" i="2"/>
  <c r="H25" i="2"/>
  <c r="H27" i="2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I112" i="2" l="1"/>
  <c r="I43" i="2"/>
  <c r="I128" i="2"/>
  <c r="I56" i="2"/>
  <c r="I123" i="2"/>
  <c r="I27" i="2"/>
  <c r="I83" i="2"/>
  <c r="I51" i="2"/>
  <c r="I60" i="2" l="1"/>
  <c r="I15" i="2"/>
  <c r="I110" i="2"/>
  <c r="I113" i="2"/>
  <c r="I108" i="2"/>
  <c r="I119" i="2"/>
  <c r="I90" i="2"/>
  <c r="I68" i="2"/>
  <c r="I11" i="2"/>
  <c r="I91" i="2"/>
  <c r="I118" i="2"/>
  <c r="I42" i="2"/>
  <c r="I23" i="2" l="1"/>
  <c r="I24" i="2"/>
  <c r="I131" i="2"/>
  <c r="I67" i="2"/>
  <c r="I25" i="2"/>
  <c r="I26" i="2"/>
  <c r="I127" i="2" l="1"/>
  <c r="I122" i="2"/>
  <c r="I82" i="2"/>
  <c r="I29" i="2"/>
  <c r="I41" i="2" l="1"/>
  <c r="I88" i="2" l="1"/>
  <c r="I62" i="2" l="1"/>
  <c r="I44" i="2" l="1"/>
  <c r="I64" i="2"/>
  <c r="I107" i="2"/>
  <c r="I52" i="2"/>
  <c r="I87" i="2"/>
  <c r="I81" i="2"/>
  <c r="I28" i="2"/>
  <c r="I92" i="2"/>
  <c r="I121" i="2"/>
  <c r="I46" i="2"/>
  <c r="I47" i="2"/>
  <c r="I124" i="2"/>
  <c r="I37" i="2"/>
  <c r="I126" i="2"/>
  <c r="I69" i="2"/>
  <c r="I30" i="2"/>
  <c r="I58" i="2"/>
  <c r="I32" i="2"/>
  <c r="I13" i="2"/>
  <c r="I89" i="2"/>
  <c r="I138" i="2"/>
  <c r="I129" i="2"/>
  <c r="I49" i="2"/>
  <c r="I130" i="2"/>
  <c r="I53" i="2"/>
  <c r="I63" i="2"/>
  <c r="I111" i="2"/>
  <c r="I61" i="2"/>
  <c r="I38" i="2"/>
  <c r="I116" i="2"/>
  <c r="I45" i="2"/>
  <c r="I55" i="2"/>
  <c r="I106" i="2"/>
  <c r="I9" i="2"/>
  <c r="I36" i="2"/>
  <c r="I65" i="2"/>
  <c r="I14" i="2"/>
  <c r="I66" i="2"/>
  <c r="I50" i="2"/>
  <c r="I114" i="2"/>
  <c r="I12" i="2"/>
  <c r="I109" i="2"/>
  <c r="I137" i="2"/>
  <c r="I125" i="2"/>
  <c r="I132" i="2"/>
  <c r="I39" i="2"/>
  <c r="I48" i="2"/>
  <c r="I117" i="2"/>
  <c r="I70" i="2"/>
  <c r="I35" i="2"/>
  <c r="I54" i="2"/>
  <c r="I33" i="2"/>
  <c r="I59" i="2"/>
  <c r="I71" i="2"/>
  <c r="I31" i="2"/>
  <c r="I34" i="2"/>
  <c r="I10" i="2"/>
  <c r="I40" i="2"/>
  <c r="I120" i="2"/>
  <c r="I57" i="2"/>
  <c r="I115" i="2"/>
  <c r="I139" i="2" l="1"/>
  <c r="G1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Pavlíček</author>
  </authors>
  <commentList>
    <comment ref="H66" authorId="0" shapeId="0" xr:uid="{CC7043D0-77BF-45A2-A815-AD7F216A7DCB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upraveno o nárůst úvazků z 6,5 na 7,77</t>
        </r>
      </text>
    </comment>
    <comment ref="F86" authorId="0" shapeId="0" xr:uid="{40C714CC-0025-4DE9-84B7-1E185E52D1CB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v žádosti chybně §52 sociální služby poskytované ve zdravotnických zařízeních lůžkové péče</t>
        </r>
      </text>
    </comment>
  </commentList>
</comments>
</file>

<file path=xl/sharedStrings.xml><?xml version="1.0" encoding="utf-8"?>
<sst xmlns="http://schemas.openxmlformats.org/spreadsheetml/2006/main" count="443" uniqueCount="90">
  <si>
    <t>Název poskytovatele</t>
  </si>
  <si>
    <t>IČ</t>
  </si>
  <si>
    <t>Právní forma</t>
  </si>
  <si>
    <t>ID</t>
  </si>
  <si>
    <t>Druh služby</t>
  </si>
  <si>
    <t>Ústav</t>
  </si>
  <si>
    <t>denní stacionáře</t>
  </si>
  <si>
    <t>odlehčovací služby</t>
  </si>
  <si>
    <t>osobní asistence</t>
  </si>
  <si>
    <t>raná péče</t>
  </si>
  <si>
    <t>sociální rehabilitace</t>
  </si>
  <si>
    <t>THEIA - krizové centrum o.p.s.</t>
  </si>
  <si>
    <t>Obecně prospěšná společnost</t>
  </si>
  <si>
    <t>krizová pomoc</t>
  </si>
  <si>
    <t>odborné sociální poradenství</t>
  </si>
  <si>
    <t>Spolu spojit síly z. s.</t>
  </si>
  <si>
    <t>Spolek</t>
  </si>
  <si>
    <t>Česká maltézská pomoc SŘMR pod patronátem Velkopřevorství českého,stř.Č.B.,o.p.s</t>
  </si>
  <si>
    <t>průvodcovské a předčitatelské služby</t>
  </si>
  <si>
    <t>domovy pro seniory</t>
  </si>
  <si>
    <t>Chelčický domov sv. Linharta, o.p.s.</t>
  </si>
  <si>
    <t>pečovatelská služba</t>
  </si>
  <si>
    <t>Mezi proudy o.p.s.</t>
  </si>
  <si>
    <t>Poradna pro rodinu, manželství, mezilidské vztahy, psychosociální, pracovně-profesní oblast a osobnostní rozvoj, o.p.s.</t>
  </si>
  <si>
    <t>Ledax o.p.s.</t>
  </si>
  <si>
    <t>I MY, o.p.s.</t>
  </si>
  <si>
    <t>FOKUS České Budějovice, z.ú.</t>
  </si>
  <si>
    <t>chráněné bydlení</t>
  </si>
  <si>
    <t>Základní škola a Mateřská škola a poskytovatel sociálních služeb, Kaňka o.p.s.</t>
  </si>
  <si>
    <t>FOKUS Tábor, z.s.</t>
  </si>
  <si>
    <t>Borůvka, Borovany spolek</t>
  </si>
  <si>
    <t>FOKUS - Písek, z.ú.</t>
  </si>
  <si>
    <t>Otevřená OKNA, z. ú.</t>
  </si>
  <si>
    <t>PREVENT 99 z.ú.</t>
  </si>
  <si>
    <t>kontaktní centra</t>
  </si>
  <si>
    <t>nízkoprahová zařízení pro děti a mládež</t>
  </si>
  <si>
    <t>terénní programy</t>
  </si>
  <si>
    <t>Jihočeské centrum pro zdravotně postižené a seniory o.p.s.</t>
  </si>
  <si>
    <t>TyfloCentrum České Budějovice, o.p.s.</t>
  </si>
  <si>
    <t>Poř.č.</t>
  </si>
  <si>
    <t>Žádost o NFV (Kč)</t>
  </si>
  <si>
    <t>Charita Písek</t>
  </si>
  <si>
    <t>Církve a náboženské společnosti</t>
  </si>
  <si>
    <t>sociálně aktivizační služby pro rodiny s dětmi</t>
  </si>
  <si>
    <t>sociálně terapeutické dílny</t>
  </si>
  <si>
    <t>Charita Tábor</t>
  </si>
  <si>
    <t>noclehárny</t>
  </si>
  <si>
    <t>ICOS Český Krumlov, o.p.s.</t>
  </si>
  <si>
    <t>Portus Prachatice, o.p.s.</t>
  </si>
  <si>
    <t>Dětské centrum Jihočeského kraje, o.p.s.</t>
  </si>
  <si>
    <t>Kotva při strakonické nemocnici, z.s.</t>
  </si>
  <si>
    <t>domovy se zvláštním režimem</t>
  </si>
  <si>
    <t>Sociální pohoda, o.p.s.</t>
  </si>
  <si>
    <t>domovy pro osoby se zdravotním postižením</t>
  </si>
  <si>
    <t>RESIDENT 2000 o.p.s.</t>
  </si>
  <si>
    <t>Středisko pro rodinu a mezilidské vztahy a Linka důvěry České Budějovice o.p.s.</t>
  </si>
  <si>
    <t>telefonická krizová pomoc</t>
  </si>
  <si>
    <t>Asistence Pomoc a Péče Slunečnice, z.ú.</t>
  </si>
  <si>
    <t>Diakonie ČCE - středisko Rolnička</t>
  </si>
  <si>
    <t>centra denních služeb</t>
  </si>
  <si>
    <t>ANA, z.ú.</t>
  </si>
  <si>
    <t>služby následné péče</t>
  </si>
  <si>
    <t>Autis Centrum, o.p.s.</t>
  </si>
  <si>
    <t>sociálně aktivizační služby pro seniory a osoby se zdravotním postižením</t>
  </si>
  <si>
    <t>týdenní stacionáře</t>
  </si>
  <si>
    <t>Temperi, o.p.s.</t>
  </si>
  <si>
    <t>Charita Strakonice</t>
  </si>
  <si>
    <t>Czech one Prague s.r.o.</t>
  </si>
  <si>
    <t>Společnost s ručením omezeným</t>
  </si>
  <si>
    <t>Domovy KLAS, o.p.s.</t>
  </si>
  <si>
    <t>MESADA, z.s.</t>
  </si>
  <si>
    <t>Romodrom o.p.s.</t>
  </si>
  <si>
    <t>Nazaret - středisko Husitské diakonie</t>
  </si>
  <si>
    <t>Krizové centrum pro děti a rodinu v Jihočeském kraji, z.ú.</t>
  </si>
  <si>
    <t>STROOM DUB o. p. s.</t>
  </si>
  <si>
    <t>Charita Jindřichův Hradec</t>
  </si>
  <si>
    <t>Vypočtená maximální možná výše NFV (Kč)</t>
  </si>
  <si>
    <t>nadměrná žádost*</t>
  </si>
  <si>
    <t>Hospic sv. Jana N. Neumanna, o.p.s.</t>
  </si>
  <si>
    <t>neodpovídá účelu (financováno IP)</t>
  </si>
  <si>
    <t>Charita České Budějovice</t>
  </si>
  <si>
    <t>nízkoprahová denní centra</t>
  </si>
  <si>
    <t>APLA Jižní Čechy, z.ú.</t>
  </si>
  <si>
    <t xml:space="preserve">* Za přiměřený a hospodárný požadavek na NFV na jednotlivou službu je dle schválených Pravidel považován požadavek v maximální výši 25 % poskytnuté dotace MPSV v roce 2023. </t>
  </si>
  <si>
    <t>Arkáda - sociálně psychologické centrum, z.ú.</t>
  </si>
  <si>
    <t>Diecézní charita České Budějovice</t>
  </si>
  <si>
    <t>intervenční centra</t>
  </si>
  <si>
    <t>Charita Týn nad Vltavou</t>
  </si>
  <si>
    <t>DŮVOD ODMÍTNUTÍ/NEPODPORY PODANÉ ŽÁDOSTI, DŮVOD KRÁCENÍ NFV</t>
  </si>
  <si>
    <t>NÁVRATNÁ FINANČNÍ VÝPOMOC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</si>
</sst>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6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3" fontId="16" fillId="35" borderId="17" xfId="0" applyNumberFormat="1" applyFont="1" applyFill="1" applyBorder="1"/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/>
    <xf numFmtId="0" fontId="20" fillId="37" borderId="15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0" borderId="0" xfId="0" applyFont="1"/>
    <xf numFmtId="3" fontId="16" fillId="0" borderId="19" xfId="0" applyNumberFormat="1" applyFont="1" applyBorder="1"/>
    <xf numFmtId="3" fontId="16" fillId="37" borderId="17" xfId="0" applyNumberFormat="1" applyFont="1" applyFill="1" applyBorder="1"/>
    <xf numFmtId="0" fontId="23" fillId="0" borderId="1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4" fillId="0" borderId="14" xfId="0" applyNumberFormat="1" applyFont="1" applyBorder="1"/>
    <xf numFmtId="3" fontId="24" fillId="0" borderId="20" xfId="0" applyNumberFormat="1" applyFont="1" applyBorder="1"/>
    <xf numFmtId="3" fontId="25" fillId="38" borderId="13" xfId="0" applyNumberFormat="1" applyFont="1" applyFill="1" applyBorder="1"/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3" fontId="24" fillId="0" borderId="24" xfId="0" applyNumberFormat="1" applyFont="1" applyBorder="1"/>
    <xf numFmtId="3" fontId="24" fillId="0" borderId="25" xfId="0" applyNumberFormat="1" applyFont="1" applyBorder="1"/>
    <xf numFmtId="3" fontId="25" fillId="38" borderId="22" xfId="0" applyNumberFormat="1" applyFont="1" applyFill="1" applyBorder="1"/>
    <xf numFmtId="0" fontId="24" fillId="0" borderId="21" xfId="0" applyFont="1" applyBorder="1"/>
    <xf numFmtId="0" fontId="24" fillId="0" borderId="13" xfId="0" applyFont="1" applyBorder="1"/>
    <xf numFmtId="0" fontId="24" fillId="0" borderId="22" xfId="0" applyFon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379D-5D8A-4A6A-A783-8F87F9643597}">
  <sheetPr>
    <pageSetUpPr fitToPage="1"/>
  </sheetPr>
  <dimension ref="A1:J141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" x14ac:dyDescent="0.25"/>
  <cols>
    <col min="1" max="1" width="4.5703125" hidden="1" customWidth="1"/>
    <col min="2" max="2" width="55.85546875" customWidth="1"/>
    <col min="5" max="5" width="8" bestFit="1" customWidth="1"/>
    <col min="6" max="6" width="33.140625" customWidth="1"/>
    <col min="7" max="7" width="9.85546875" bestFit="1" customWidth="1"/>
    <col min="8" max="8" width="12.5703125" customWidth="1"/>
    <col min="9" max="9" width="12.7109375" customWidth="1"/>
    <col min="10" max="10" width="32.28515625" bestFit="1" customWidth="1"/>
  </cols>
  <sheetData>
    <row r="1" spans="1:10" ht="60.75" thickBot="1" x14ac:dyDescent="0.3">
      <c r="A1" s="7" t="s">
        <v>39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5" t="s">
        <v>40</v>
      </c>
      <c r="H1" s="4" t="s">
        <v>76</v>
      </c>
      <c r="I1" s="10" t="s">
        <v>89</v>
      </c>
      <c r="J1" s="9" t="s">
        <v>88</v>
      </c>
    </row>
    <row r="2" spans="1:10" x14ac:dyDescent="0.25">
      <c r="A2" s="8"/>
      <c r="B2" s="14" t="s">
        <v>78</v>
      </c>
      <c r="C2" s="15">
        <v>70853517</v>
      </c>
      <c r="D2" s="15" t="s">
        <v>12</v>
      </c>
      <c r="E2" s="15">
        <v>6470375</v>
      </c>
      <c r="F2" s="15" t="s">
        <v>51</v>
      </c>
      <c r="G2" s="16">
        <v>1959500</v>
      </c>
      <c r="H2" s="17">
        <f>7838000*0.25</f>
        <v>1959500</v>
      </c>
      <c r="I2" s="18">
        <f t="shared" ref="I2:I8" si="0">FLOOR(MIN(G2,H2),1000)</f>
        <v>1959000</v>
      </c>
      <c r="J2" s="24"/>
    </row>
    <row r="3" spans="1:10" x14ac:dyDescent="0.25">
      <c r="A3" s="8"/>
      <c r="B3" s="14" t="s">
        <v>78</v>
      </c>
      <c r="C3" s="15">
        <v>70853517</v>
      </c>
      <c r="D3" s="15" t="s">
        <v>12</v>
      </c>
      <c r="E3" s="15">
        <v>6094085</v>
      </c>
      <c r="F3" s="15" t="s">
        <v>14</v>
      </c>
      <c r="G3" s="16">
        <v>278500</v>
      </c>
      <c r="H3" s="17">
        <f>1114000*0.25</f>
        <v>278500</v>
      </c>
      <c r="I3" s="18">
        <f t="shared" si="0"/>
        <v>278000</v>
      </c>
      <c r="J3" s="24"/>
    </row>
    <row r="4" spans="1:10" x14ac:dyDescent="0.25">
      <c r="A4" s="8"/>
      <c r="B4" s="14" t="s">
        <v>78</v>
      </c>
      <c r="C4" s="15">
        <v>70853517</v>
      </c>
      <c r="D4" s="15" t="s">
        <v>12</v>
      </c>
      <c r="E4" s="15">
        <v>1257474</v>
      </c>
      <c r="F4" s="15" t="s">
        <v>7</v>
      </c>
      <c r="G4" s="16">
        <v>355000</v>
      </c>
      <c r="H4" s="17">
        <f>1420000*0.25</f>
        <v>355000</v>
      </c>
      <c r="I4" s="18">
        <f t="shared" si="0"/>
        <v>355000</v>
      </c>
      <c r="J4" s="24"/>
    </row>
    <row r="5" spans="1:10" x14ac:dyDescent="0.25">
      <c r="A5" s="8"/>
      <c r="B5" s="14" t="s">
        <v>78</v>
      </c>
      <c r="C5" s="15">
        <v>70853517</v>
      </c>
      <c r="D5" s="15" t="s">
        <v>12</v>
      </c>
      <c r="E5" s="15">
        <v>4513203</v>
      </c>
      <c r="F5" s="15" t="s">
        <v>7</v>
      </c>
      <c r="G5" s="16">
        <v>1148250</v>
      </c>
      <c r="H5" s="17">
        <f>4593000*0.25</f>
        <v>1148250</v>
      </c>
      <c r="I5" s="18">
        <f t="shared" si="0"/>
        <v>1148000</v>
      </c>
      <c r="J5" s="24"/>
    </row>
    <row r="6" spans="1:10" x14ac:dyDescent="0.25">
      <c r="A6" s="8"/>
      <c r="B6" s="14" t="s">
        <v>78</v>
      </c>
      <c r="C6" s="15">
        <v>70853517</v>
      </c>
      <c r="D6" s="15" t="s">
        <v>12</v>
      </c>
      <c r="E6" s="15">
        <v>5515714</v>
      </c>
      <c r="F6" s="15" t="s">
        <v>7</v>
      </c>
      <c r="G6" s="16">
        <v>236750</v>
      </c>
      <c r="H6" s="17">
        <f>947000*0.25</f>
        <v>236750</v>
      </c>
      <c r="I6" s="18">
        <f t="shared" si="0"/>
        <v>236000</v>
      </c>
      <c r="J6" s="24"/>
    </row>
    <row r="7" spans="1:10" x14ac:dyDescent="0.25">
      <c r="A7" s="8"/>
      <c r="B7" s="14" t="s">
        <v>78</v>
      </c>
      <c r="C7" s="15">
        <v>70853517</v>
      </c>
      <c r="D7" s="15" t="s">
        <v>12</v>
      </c>
      <c r="E7" s="15">
        <v>6012559</v>
      </c>
      <c r="F7" s="15" t="s">
        <v>7</v>
      </c>
      <c r="G7" s="16">
        <v>414250</v>
      </c>
      <c r="H7" s="17">
        <f>1657000*0.25</f>
        <v>414250</v>
      </c>
      <c r="I7" s="18">
        <f t="shared" si="0"/>
        <v>414000</v>
      </c>
      <c r="J7" s="24"/>
    </row>
    <row r="8" spans="1:10" x14ac:dyDescent="0.25">
      <c r="A8" s="8"/>
      <c r="B8" s="14" t="s">
        <v>78</v>
      </c>
      <c r="C8" s="15">
        <v>70853517</v>
      </c>
      <c r="D8" s="15" t="s">
        <v>12</v>
      </c>
      <c r="E8" s="15">
        <v>9581744</v>
      </c>
      <c r="F8" s="15" t="s">
        <v>7</v>
      </c>
      <c r="G8" s="16">
        <v>449750</v>
      </c>
      <c r="H8" s="17">
        <f>1799000*0.25</f>
        <v>449750</v>
      </c>
      <c r="I8" s="18">
        <f t="shared" si="0"/>
        <v>449000</v>
      </c>
      <c r="J8" s="25"/>
    </row>
    <row r="9" spans="1:10" x14ac:dyDescent="0.25">
      <c r="A9" s="8"/>
      <c r="B9" s="14" t="s">
        <v>38</v>
      </c>
      <c r="C9" s="15">
        <v>26026848</v>
      </c>
      <c r="D9" s="15" t="s">
        <v>12</v>
      </c>
      <c r="E9" s="15">
        <v>4843535</v>
      </c>
      <c r="F9" s="15" t="s">
        <v>18</v>
      </c>
      <c r="G9" s="16">
        <v>270000</v>
      </c>
      <c r="H9" s="17">
        <f>1102000*0.25</f>
        <v>275500</v>
      </c>
      <c r="I9" s="18">
        <f t="shared" ref="I9:I17" si="1">FLOOR(MIN(G9,H9),1000)</f>
        <v>270000</v>
      </c>
      <c r="J9" s="24"/>
    </row>
    <row r="10" spans="1:10" x14ac:dyDescent="0.25">
      <c r="A10" s="8"/>
      <c r="B10" s="14" t="s">
        <v>38</v>
      </c>
      <c r="C10" s="15">
        <v>26026848</v>
      </c>
      <c r="D10" s="15" t="s">
        <v>12</v>
      </c>
      <c r="E10" s="15">
        <v>4576938</v>
      </c>
      <c r="F10" s="15" t="s">
        <v>14</v>
      </c>
      <c r="G10" s="16">
        <v>280000</v>
      </c>
      <c r="H10" s="17">
        <f>1142000*0.25</f>
        <v>285500</v>
      </c>
      <c r="I10" s="18">
        <f t="shared" si="1"/>
        <v>280000</v>
      </c>
      <c r="J10" s="24"/>
    </row>
    <row r="11" spans="1:10" x14ac:dyDescent="0.25">
      <c r="A11" s="8"/>
      <c r="B11" s="14" t="s">
        <v>38</v>
      </c>
      <c r="C11" s="15">
        <v>26026848</v>
      </c>
      <c r="D11" s="15" t="s">
        <v>12</v>
      </c>
      <c r="E11" s="15">
        <v>3281697</v>
      </c>
      <c r="F11" s="15" t="s">
        <v>10</v>
      </c>
      <c r="G11" s="16">
        <v>490000</v>
      </c>
      <c r="H11" s="17">
        <f>1968000*0.25</f>
        <v>492000</v>
      </c>
      <c r="I11" s="18">
        <f t="shared" si="1"/>
        <v>490000</v>
      </c>
      <c r="J11" s="24"/>
    </row>
    <row r="12" spans="1:10" x14ac:dyDescent="0.25">
      <c r="A12" s="8"/>
      <c r="B12" s="14" t="s">
        <v>52</v>
      </c>
      <c r="C12" s="15">
        <v>26097982</v>
      </c>
      <c r="D12" s="15" t="s">
        <v>12</v>
      </c>
      <c r="E12" s="15">
        <v>3172401</v>
      </c>
      <c r="F12" s="15" t="s">
        <v>53</v>
      </c>
      <c r="G12" s="16">
        <v>4656250</v>
      </c>
      <c r="H12" s="17">
        <f>18625000*0.25</f>
        <v>4656250</v>
      </c>
      <c r="I12" s="18">
        <f t="shared" si="1"/>
        <v>4656000</v>
      </c>
      <c r="J12" s="24"/>
    </row>
    <row r="13" spans="1:10" x14ac:dyDescent="0.25">
      <c r="A13" s="8"/>
      <c r="B13" s="14" t="s">
        <v>50</v>
      </c>
      <c r="C13" s="15">
        <v>6971946</v>
      </c>
      <c r="D13" s="15" t="s">
        <v>16</v>
      </c>
      <c r="E13" s="15">
        <v>2061395</v>
      </c>
      <c r="F13" s="15" t="s">
        <v>51</v>
      </c>
      <c r="G13" s="16">
        <v>3500000</v>
      </c>
      <c r="H13" s="17">
        <f>16067000*0.25</f>
        <v>4016750</v>
      </c>
      <c r="I13" s="18">
        <f t="shared" si="1"/>
        <v>3500000</v>
      </c>
      <c r="J13" s="24"/>
    </row>
    <row r="14" spans="1:10" x14ac:dyDescent="0.25">
      <c r="A14" s="8"/>
      <c r="B14" s="14" t="s">
        <v>50</v>
      </c>
      <c r="C14" s="15">
        <v>6971946</v>
      </c>
      <c r="D14" s="15" t="s">
        <v>16</v>
      </c>
      <c r="E14" s="15">
        <v>8226916</v>
      </c>
      <c r="F14" s="15" t="s">
        <v>51</v>
      </c>
      <c r="G14" s="16">
        <v>1500000</v>
      </c>
      <c r="H14" s="17">
        <f>6320000*0.25</f>
        <v>1580000</v>
      </c>
      <c r="I14" s="18">
        <f t="shared" si="1"/>
        <v>1500000</v>
      </c>
      <c r="J14" s="24"/>
    </row>
    <row r="15" spans="1:10" x14ac:dyDescent="0.25">
      <c r="A15" s="8"/>
      <c r="B15" s="14" t="s">
        <v>49</v>
      </c>
      <c r="C15" s="15">
        <v>26097745</v>
      </c>
      <c r="D15" s="15" t="s">
        <v>12</v>
      </c>
      <c r="E15" s="15">
        <v>9154113</v>
      </c>
      <c r="F15" s="15" t="s">
        <v>10</v>
      </c>
      <c r="G15" s="16">
        <v>636500</v>
      </c>
      <c r="H15" s="17">
        <f>2546000*0.25</f>
        <v>636500</v>
      </c>
      <c r="I15" s="18">
        <f t="shared" si="1"/>
        <v>636000</v>
      </c>
      <c r="J15" s="24"/>
    </row>
    <row r="16" spans="1:10" x14ac:dyDescent="0.25">
      <c r="A16" s="8"/>
      <c r="B16" s="14" t="s">
        <v>37</v>
      </c>
      <c r="C16" s="15">
        <v>26594463</v>
      </c>
      <c r="D16" s="15" t="s">
        <v>12</v>
      </c>
      <c r="E16" s="15">
        <v>2863115</v>
      </c>
      <c r="F16" s="15" t="s">
        <v>14</v>
      </c>
      <c r="G16" s="16">
        <v>141735</v>
      </c>
      <c r="H16" s="17">
        <f>696000*0.25</f>
        <v>174000</v>
      </c>
      <c r="I16" s="18">
        <f t="shared" si="1"/>
        <v>141000</v>
      </c>
      <c r="J16" s="24"/>
    </row>
    <row r="17" spans="1:10" x14ac:dyDescent="0.25">
      <c r="A17" s="8"/>
      <c r="B17" s="14" t="s">
        <v>37</v>
      </c>
      <c r="C17" s="15">
        <v>26594463</v>
      </c>
      <c r="D17" s="15" t="s">
        <v>12</v>
      </c>
      <c r="E17" s="15">
        <v>3625886</v>
      </c>
      <c r="F17" s="15" t="s">
        <v>14</v>
      </c>
      <c r="G17" s="16">
        <v>121725</v>
      </c>
      <c r="H17" s="17">
        <f>557000*0.25</f>
        <v>139250</v>
      </c>
      <c r="I17" s="18">
        <f t="shared" si="1"/>
        <v>121000</v>
      </c>
      <c r="J17" s="25"/>
    </row>
    <row r="18" spans="1:10" x14ac:dyDescent="0.25">
      <c r="A18" s="8"/>
      <c r="B18" s="14" t="s">
        <v>37</v>
      </c>
      <c r="C18" s="15">
        <v>26594463</v>
      </c>
      <c r="D18" s="15" t="s">
        <v>12</v>
      </c>
      <c r="E18" s="15">
        <v>4336972</v>
      </c>
      <c r="F18" s="15" t="s">
        <v>14</v>
      </c>
      <c r="G18" s="16">
        <v>141735</v>
      </c>
      <c r="H18" s="17">
        <f>696000*0.25</f>
        <v>174000</v>
      </c>
      <c r="I18" s="18">
        <f>FLOOR(MIN(G18,H18),1000)</f>
        <v>141000</v>
      </c>
      <c r="J18" s="25"/>
    </row>
    <row r="19" spans="1:10" x14ac:dyDescent="0.25">
      <c r="A19" s="8"/>
      <c r="B19" s="14" t="s">
        <v>37</v>
      </c>
      <c r="C19" s="15">
        <v>26594463</v>
      </c>
      <c r="D19" s="15" t="s">
        <v>12</v>
      </c>
      <c r="E19" s="15">
        <v>8373801</v>
      </c>
      <c r="F19" s="15" t="s">
        <v>14</v>
      </c>
      <c r="G19" s="16">
        <v>141735</v>
      </c>
      <c r="H19" s="17">
        <f>696000*0.25</f>
        <v>174000</v>
      </c>
      <c r="I19" s="18">
        <f>FLOOR(MIN(G19,H19),1000)</f>
        <v>141000</v>
      </c>
      <c r="J19" s="24"/>
    </row>
    <row r="20" spans="1:10" x14ac:dyDescent="0.25">
      <c r="A20" s="8"/>
      <c r="B20" s="14" t="s">
        <v>37</v>
      </c>
      <c r="C20" s="15">
        <v>26594463</v>
      </c>
      <c r="D20" s="15" t="s">
        <v>12</v>
      </c>
      <c r="E20" s="15">
        <v>9171996</v>
      </c>
      <c r="F20" s="15" t="s">
        <v>14</v>
      </c>
      <c r="G20" s="16">
        <v>162675</v>
      </c>
      <c r="H20" s="17">
        <f>696000*0.25</f>
        <v>174000</v>
      </c>
      <c r="I20" s="18">
        <f>FLOOR(MIN(G20,H20),1000)</f>
        <v>162000</v>
      </c>
      <c r="J20" s="25"/>
    </row>
    <row r="21" spans="1:10" x14ac:dyDescent="0.25">
      <c r="A21" s="8"/>
      <c r="B21" s="14" t="s">
        <v>37</v>
      </c>
      <c r="C21" s="15">
        <v>26594463</v>
      </c>
      <c r="D21" s="15" t="s">
        <v>12</v>
      </c>
      <c r="E21" s="15">
        <v>9280977</v>
      </c>
      <c r="F21" s="15" t="s">
        <v>14</v>
      </c>
      <c r="G21" s="16">
        <v>146856</v>
      </c>
      <c r="H21" s="17">
        <f>696000*0.25</f>
        <v>174000</v>
      </c>
      <c r="I21" s="18">
        <f>FLOOR(MIN(G21,H21),1000)</f>
        <v>146000</v>
      </c>
      <c r="J21" s="24"/>
    </row>
    <row r="22" spans="1:10" x14ac:dyDescent="0.25">
      <c r="A22" s="8"/>
      <c r="B22" s="14" t="s">
        <v>37</v>
      </c>
      <c r="C22" s="15">
        <v>26594463</v>
      </c>
      <c r="D22" s="15" t="s">
        <v>12</v>
      </c>
      <c r="E22" s="15">
        <v>2503455</v>
      </c>
      <c r="F22" s="15" t="s">
        <v>8</v>
      </c>
      <c r="G22" s="16">
        <v>330696</v>
      </c>
      <c r="H22" s="17">
        <f>1099000*0.25</f>
        <v>274750</v>
      </c>
      <c r="I22" s="18">
        <f>FLOOR(MIN(G22,H22),1000)</f>
        <v>274000</v>
      </c>
      <c r="J22" s="25" t="s">
        <v>77</v>
      </c>
    </row>
    <row r="23" spans="1:10" x14ac:dyDescent="0.25">
      <c r="A23" s="8"/>
      <c r="B23" s="14" t="s">
        <v>31</v>
      </c>
      <c r="C23" s="15">
        <v>26538776</v>
      </c>
      <c r="D23" s="15" t="s">
        <v>5</v>
      </c>
      <c r="E23" s="15">
        <v>6905541</v>
      </c>
      <c r="F23" s="15" t="s">
        <v>44</v>
      </c>
      <c r="G23" s="16">
        <v>280000</v>
      </c>
      <c r="H23" s="17">
        <v>0</v>
      </c>
      <c r="I23" s="18">
        <f t="shared" ref="I23:I60" si="2">FLOOR(MIN(G23,H23),1000)</f>
        <v>0</v>
      </c>
      <c r="J23" s="25" t="s">
        <v>79</v>
      </c>
    </row>
    <row r="24" spans="1:10" x14ac:dyDescent="0.25">
      <c r="A24" s="8"/>
      <c r="B24" s="14" t="s">
        <v>31</v>
      </c>
      <c r="C24" s="15">
        <v>26538776</v>
      </c>
      <c r="D24" s="15" t="s">
        <v>5</v>
      </c>
      <c r="E24" s="15">
        <v>3478121</v>
      </c>
      <c r="F24" s="15" t="s">
        <v>44</v>
      </c>
      <c r="G24" s="16">
        <v>280000</v>
      </c>
      <c r="H24" s="17">
        <v>0</v>
      </c>
      <c r="I24" s="18">
        <f t="shared" si="2"/>
        <v>0</v>
      </c>
      <c r="J24" s="25" t="s">
        <v>79</v>
      </c>
    </row>
    <row r="25" spans="1:10" x14ac:dyDescent="0.25">
      <c r="A25" s="8"/>
      <c r="B25" s="14" t="s">
        <v>31</v>
      </c>
      <c r="C25" s="15">
        <v>26538776</v>
      </c>
      <c r="D25" s="15" t="s">
        <v>5</v>
      </c>
      <c r="E25" s="15">
        <v>6725396</v>
      </c>
      <c r="F25" s="15" t="s">
        <v>10</v>
      </c>
      <c r="G25" s="16">
        <v>550000</v>
      </c>
      <c r="H25" s="17">
        <f>2472000*0.25</f>
        <v>618000</v>
      </c>
      <c r="I25" s="18">
        <f t="shared" si="2"/>
        <v>550000</v>
      </c>
      <c r="J25" s="25"/>
    </row>
    <row r="26" spans="1:10" x14ac:dyDescent="0.25">
      <c r="A26" s="8"/>
      <c r="B26" s="14" t="s">
        <v>31</v>
      </c>
      <c r="C26" s="15">
        <v>26538776</v>
      </c>
      <c r="D26" s="15" t="s">
        <v>5</v>
      </c>
      <c r="E26" s="15">
        <v>3257665</v>
      </c>
      <c r="F26" s="15" t="s">
        <v>10</v>
      </c>
      <c r="G26" s="16">
        <v>1500000</v>
      </c>
      <c r="H26" s="17">
        <f>6752000*0.25</f>
        <v>1688000</v>
      </c>
      <c r="I26" s="18">
        <f t="shared" si="2"/>
        <v>1500000</v>
      </c>
      <c r="J26" s="25"/>
    </row>
    <row r="27" spans="1:10" x14ac:dyDescent="0.25">
      <c r="A27" s="8"/>
      <c r="B27" s="14" t="s">
        <v>31</v>
      </c>
      <c r="C27" s="15">
        <v>26538776</v>
      </c>
      <c r="D27" s="15" t="s">
        <v>5</v>
      </c>
      <c r="E27" s="15">
        <v>4056720</v>
      </c>
      <c r="F27" s="15" t="s">
        <v>27</v>
      </c>
      <c r="G27" s="16">
        <v>650000</v>
      </c>
      <c r="H27" s="17">
        <f>1666000*0.25</f>
        <v>416500</v>
      </c>
      <c r="I27" s="18">
        <f t="shared" si="2"/>
        <v>416000</v>
      </c>
      <c r="J27" s="25" t="s">
        <v>77</v>
      </c>
    </row>
    <row r="28" spans="1:10" x14ac:dyDescent="0.25">
      <c r="A28" s="8"/>
      <c r="B28" s="14" t="s">
        <v>65</v>
      </c>
      <c r="C28" s="15">
        <v>28159179</v>
      </c>
      <c r="D28" s="15" t="s">
        <v>12</v>
      </c>
      <c r="E28" s="15">
        <v>1134964</v>
      </c>
      <c r="F28" s="15" t="s">
        <v>35</v>
      </c>
      <c r="G28" s="16">
        <v>470000</v>
      </c>
      <c r="H28" s="17">
        <f>1727000*0.25</f>
        <v>431750</v>
      </c>
      <c r="I28" s="18">
        <f t="shared" si="2"/>
        <v>431000</v>
      </c>
      <c r="J28" s="24" t="s">
        <v>77</v>
      </c>
    </row>
    <row r="29" spans="1:10" x14ac:dyDescent="0.25">
      <c r="A29" s="8"/>
      <c r="B29" s="14" t="s">
        <v>65</v>
      </c>
      <c r="C29" s="15">
        <v>28159179</v>
      </c>
      <c r="D29" s="15" t="s">
        <v>12</v>
      </c>
      <c r="E29" s="15">
        <v>9299363</v>
      </c>
      <c r="F29" s="15" t="s">
        <v>43</v>
      </c>
      <c r="G29" s="16">
        <v>920000</v>
      </c>
      <c r="H29" s="17">
        <f>3697000*0.25</f>
        <v>924250</v>
      </c>
      <c r="I29" s="18">
        <f t="shared" si="2"/>
        <v>920000</v>
      </c>
      <c r="J29" s="24"/>
    </row>
    <row r="30" spans="1:10" x14ac:dyDescent="0.25">
      <c r="A30" s="8"/>
      <c r="B30" s="14" t="s">
        <v>30</v>
      </c>
      <c r="C30" s="15">
        <v>26641003</v>
      </c>
      <c r="D30" s="15" t="s">
        <v>16</v>
      </c>
      <c r="E30" s="15">
        <v>6875332</v>
      </c>
      <c r="F30" s="15" t="s">
        <v>21</v>
      </c>
      <c r="G30" s="16">
        <v>100000</v>
      </c>
      <c r="H30" s="17">
        <f>1142000*0.25</f>
        <v>285500</v>
      </c>
      <c r="I30" s="18">
        <f t="shared" si="2"/>
        <v>100000</v>
      </c>
      <c r="J30" s="25"/>
    </row>
    <row r="31" spans="1:10" x14ac:dyDescent="0.25">
      <c r="A31" s="8"/>
      <c r="B31" s="14" t="s">
        <v>33</v>
      </c>
      <c r="C31" s="15">
        <v>69100641</v>
      </c>
      <c r="D31" s="15" t="s">
        <v>5</v>
      </c>
      <c r="E31" s="15">
        <v>2095617</v>
      </c>
      <c r="F31" s="15" t="s">
        <v>34</v>
      </c>
      <c r="G31" s="16">
        <v>357000</v>
      </c>
      <c r="H31" s="17">
        <f>2114000*0.25</f>
        <v>528500</v>
      </c>
      <c r="I31" s="18">
        <f t="shared" si="2"/>
        <v>357000</v>
      </c>
      <c r="J31" s="24"/>
    </row>
    <row r="32" spans="1:10" x14ac:dyDescent="0.25">
      <c r="A32" s="8"/>
      <c r="B32" s="14" t="s">
        <v>33</v>
      </c>
      <c r="C32" s="15">
        <v>69100641</v>
      </c>
      <c r="D32" s="15" t="s">
        <v>5</v>
      </c>
      <c r="E32" s="15">
        <v>7080340</v>
      </c>
      <c r="F32" s="15" t="s">
        <v>34</v>
      </c>
      <c r="G32" s="16">
        <v>687000</v>
      </c>
      <c r="H32" s="17">
        <f>4061000*0.25</f>
        <v>1015250</v>
      </c>
      <c r="I32" s="18">
        <f t="shared" si="2"/>
        <v>687000</v>
      </c>
      <c r="J32" s="24"/>
    </row>
    <row r="33" spans="1:10" x14ac:dyDescent="0.25">
      <c r="A33" s="8"/>
      <c r="B33" s="14" t="s">
        <v>33</v>
      </c>
      <c r="C33" s="15">
        <v>69100641</v>
      </c>
      <c r="D33" s="15" t="s">
        <v>5</v>
      </c>
      <c r="E33" s="15">
        <v>7872547</v>
      </c>
      <c r="F33" s="15" t="s">
        <v>34</v>
      </c>
      <c r="G33" s="16">
        <v>357000</v>
      </c>
      <c r="H33" s="17">
        <f>2114000*0.25</f>
        <v>528500</v>
      </c>
      <c r="I33" s="18">
        <f t="shared" si="2"/>
        <v>357000</v>
      </c>
      <c r="J33" s="24"/>
    </row>
    <row r="34" spans="1:10" x14ac:dyDescent="0.25">
      <c r="A34" s="8"/>
      <c r="B34" s="14" t="s">
        <v>33</v>
      </c>
      <c r="C34" s="15">
        <v>69100641</v>
      </c>
      <c r="D34" s="15" t="s">
        <v>5</v>
      </c>
      <c r="E34" s="15">
        <v>3758214</v>
      </c>
      <c r="F34" s="15" t="s">
        <v>35</v>
      </c>
      <c r="G34" s="16">
        <v>360000</v>
      </c>
      <c r="H34" s="17">
        <f>2124000*0.25</f>
        <v>531000</v>
      </c>
      <c r="I34" s="18">
        <f t="shared" si="2"/>
        <v>360000</v>
      </c>
      <c r="J34" s="24"/>
    </row>
    <row r="35" spans="1:10" x14ac:dyDescent="0.25">
      <c r="A35" s="8"/>
      <c r="B35" s="14" t="s">
        <v>33</v>
      </c>
      <c r="C35" s="15">
        <v>69100641</v>
      </c>
      <c r="D35" s="15" t="s">
        <v>5</v>
      </c>
      <c r="E35" s="15">
        <v>4388638</v>
      </c>
      <c r="F35" s="15" t="s">
        <v>35</v>
      </c>
      <c r="G35" s="16">
        <v>231000</v>
      </c>
      <c r="H35" s="17">
        <f>1368000*0.25</f>
        <v>342000</v>
      </c>
      <c r="I35" s="18">
        <f t="shared" si="2"/>
        <v>231000</v>
      </c>
      <c r="J35" s="24"/>
    </row>
    <row r="36" spans="1:10" x14ac:dyDescent="0.25">
      <c r="A36" s="8"/>
      <c r="B36" s="14" t="s">
        <v>33</v>
      </c>
      <c r="C36" s="15">
        <v>69100641</v>
      </c>
      <c r="D36" s="15" t="s">
        <v>5</v>
      </c>
      <c r="E36" s="15">
        <v>5117574</v>
      </c>
      <c r="F36" s="15" t="s">
        <v>35</v>
      </c>
      <c r="G36" s="16">
        <v>244000</v>
      </c>
      <c r="H36" s="17">
        <f>1440000*0.25</f>
        <v>360000</v>
      </c>
      <c r="I36" s="18">
        <f t="shared" si="2"/>
        <v>244000</v>
      </c>
      <c r="J36" s="24"/>
    </row>
    <row r="37" spans="1:10" x14ac:dyDescent="0.25">
      <c r="A37" s="8"/>
      <c r="B37" s="14" t="s">
        <v>33</v>
      </c>
      <c r="C37" s="15">
        <v>69100641</v>
      </c>
      <c r="D37" s="15" t="s">
        <v>5</v>
      </c>
      <c r="E37" s="15">
        <v>4292320</v>
      </c>
      <c r="F37" s="15" t="s">
        <v>14</v>
      </c>
      <c r="G37" s="16">
        <v>59000</v>
      </c>
      <c r="H37" s="17">
        <f>348000*0.25</f>
        <v>87000</v>
      </c>
      <c r="I37" s="18">
        <f t="shared" si="2"/>
        <v>59000</v>
      </c>
      <c r="J37" s="24"/>
    </row>
    <row r="38" spans="1:10" x14ac:dyDescent="0.25">
      <c r="A38" s="8"/>
      <c r="B38" s="14" t="s">
        <v>33</v>
      </c>
      <c r="C38" s="15">
        <v>69100641</v>
      </c>
      <c r="D38" s="15" t="s">
        <v>5</v>
      </c>
      <c r="E38" s="15">
        <v>5285965</v>
      </c>
      <c r="F38" s="15" t="s">
        <v>14</v>
      </c>
      <c r="G38" s="16">
        <v>82000</v>
      </c>
      <c r="H38" s="17">
        <f>487000*0.25</f>
        <v>121750</v>
      </c>
      <c r="I38" s="18">
        <f t="shared" si="2"/>
        <v>82000</v>
      </c>
      <c r="J38" s="24"/>
    </row>
    <row r="39" spans="1:10" x14ac:dyDescent="0.25">
      <c r="A39" s="8"/>
      <c r="B39" s="14" t="s">
        <v>33</v>
      </c>
      <c r="C39" s="15">
        <v>69100641</v>
      </c>
      <c r="D39" s="15" t="s">
        <v>5</v>
      </c>
      <c r="E39" s="15">
        <v>5775251</v>
      </c>
      <c r="F39" s="15" t="s">
        <v>14</v>
      </c>
      <c r="G39" s="16">
        <v>436000</v>
      </c>
      <c r="H39" s="17">
        <f>2578000*0.25</f>
        <v>644500</v>
      </c>
      <c r="I39" s="18">
        <f t="shared" si="2"/>
        <v>436000</v>
      </c>
      <c r="J39" s="24"/>
    </row>
    <row r="40" spans="1:10" x14ac:dyDescent="0.25">
      <c r="A40" s="8"/>
      <c r="B40" s="14" t="s">
        <v>33</v>
      </c>
      <c r="C40" s="15">
        <v>69100641</v>
      </c>
      <c r="D40" s="15" t="s">
        <v>5</v>
      </c>
      <c r="E40" s="15">
        <v>5787847</v>
      </c>
      <c r="F40" s="15" t="s">
        <v>14</v>
      </c>
      <c r="G40" s="16">
        <v>236000</v>
      </c>
      <c r="H40" s="17">
        <f>1393000*0.25</f>
        <v>348250</v>
      </c>
      <c r="I40" s="18">
        <f t="shared" si="2"/>
        <v>236000</v>
      </c>
      <c r="J40" s="24"/>
    </row>
    <row r="41" spans="1:10" x14ac:dyDescent="0.25">
      <c r="A41" s="8"/>
      <c r="B41" s="14" t="s">
        <v>33</v>
      </c>
      <c r="C41" s="15">
        <v>69100641</v>
      </c>
      <c r="D41" s="15" t="s">
        <v>5</v>
      </c>
      <c r="E41" s="15">
        <v>1111064</v>
      </c>
      <c r="F41" s="15" t="s">
        <v>43</v>
      </c>
      <c r="G41" s="16">
        <v>295000</v>
      </c>
      <c r="H41" s="17">
        <f>1740000*0.25</f>
        <v>435000</v>
      </c>
      <c r="I41" s="18">
        <f t="shared" si="2"/>
        <v>295000</v>
      </c>
      <c r="J41" s="24"/>
    </row>
    <row r="42" spans="1:10" x14ac:dyDescent="0.25">
      <c r="A42" s="8"/>
      <c r="B42" s="14" t="s">
        <v>33</v>
      </c>
      <c r="C42" s="15">
        <v>69100641</v>
      </c>
      <c r="D42" s="15" t="s">
        <v>5</v>
      </c>
      <c r="E42" s="15">
        <v>2481681</v>
      </c>
      <c r="F42" s="15" t="s">
        <v>36</v>
      </c>
      <c r="G42" s="16">
        <v>1316000</v>
      </c>
      <c r="H42" s="17">
        <f>7780000*0.25</f>
        <v>1945000</v>
      </c>
      <c r="I42" s="18">
        <f t="shared" si="2"/>
        <v>1316000</v>
      </c>
      <c r="J42" s="24"/>
    </row>
    <row r="43" spans="1:10" x14ac:dyDescent="0.25">
      <c r="A43" s="8"/>
      <c r="B43" s="14" t="s">
        <v>33</v>
      </c>
      <c r="C43" s="15">
        <v>69100641</v>
      </c>
      <c r="D43" s="15" t="s">
        <v>5</v>
      </c>
      <c r="E43" s="15">
        <v>9094424</v>
      </c>
      <c r="F43" s="15" t="s">
        <v>34</v>
      </c>
      <c r="G43" s="16">
        <v>340000</v>
      </c>
      <c r="H43" s="17">
        <f>2014000*0.25</f>
        <v>503500</v>
      </c>
      <c r="I43" s="18">
        <f t="shared" si="2"/>
        <v>340000</v>
      </c>
      <c r="J43" s="24"/>
    </row>
    <row r="44" spans="1:10" x14ac:dyDescent="0.25">
      <c r="A44" s="8"/>
      <c r="B44" s="14" t="s">
        <v>67</v>
      </c>
      <c r="C44" s="15">
        <v>27582035</v>
      </c>
      <c r="D44" s="15" t="s">
        <v>68</v>
      </c>
      <c r="E44" s="15">
        <v>6036173</v>
      </c>
      <c r="F44" s="15" t="s">
        <v>19</v>
      </c>
      <c r="G44" s="16">
        <v>3000000</v>
      </c>
      <c r="H44" s="17">
        <f>14899000*0.25</f>
        <v>3724750</v>
      </c>
      <c r="I44" s="18">
        <f t="shared" si="2"/>
        <v>3000000</v>
      </c>
      <c r="J44" s="25"/>
    </row>
    <row r="45" spans="1:10" x14ac:dyDescent="0.25">
      <c r="A45" s="8"/>
      <c r="B45" s="14" t="s">
        <v>24</v>
      </c>
      <c r="C45" s="15">
        <v>28068955</v>
      </c>
      <c r="D45" s="15" t="s">
        <v>12</v>
      </c>
      <c r="E45" s="15">
        <v>1180495</v>
      </c>
      <c r="F45" s="15" t="s">
        <v>21</v>
      </c>
      <c r="G45" s="16">
        <v>5000000</v>
      </c>
      <c r="H45" s="17">
        <f>38554000*0.25</f>
        <v>9638500</v>
      </c>
      <c r="I45" s="18">
        <f t="shared" si="2"/>
        <v>5000000</v>
      </c>
      <c r="J45" s="24"/>
    </row>
    <row r="46" spans="1:10" x14ac:dyDescent="0.25">
      <c r="A46" s="8"/>
      <c r="B46" s="14" t="s">
        <v>58</v>
      </c>
      <c r="C46" s="15">
        <v>47268701</v>
      </c>
      <c r="D46" s="15" t="s">
        <v>42</v>
      </c>
      <c r="E46" s="15">
        <v>8421636</v>
      </c>
      <c r="F46" s="15" t="s">
        <v>59</v>
      </c>
      <c r="G46" s="16">
        <v>2000000</v>
      </c>
      <c r="H46" s="17">
        <f>9154000*0.25</f>
        <v>2288500</v>
      </c>
      <c r="I46" s="18">
        <f t="shared" si="2"/>
        <v>2000000</v>
      </c>
      <c r="J46" s="24"/>
    </row>
    <row r="47" spans="1:10" x14ac:dyDescent="0.25">
      <c r="A47" s="8"/>
      <c r="B47" s="14" t="s">
        <v>58</v>
      </c>
      <c r="C47" s="15">
        <v>47268701</v>
      </c>
      <c r="D47" s="15" t="s">
        <v>42</v>
      </c>
      <c r="E47" s="15">
        <v>4973089</v>
      </c>
      <c r="F47" s="15" t="s">
        <v>27</v>
      </c>
      <c r="G47" s="16">
        <v>1000000</v>
      </c>
      <c r="H47" s="17">
        <f>5865000*0.25</f>
        <v>1466250</v>
      </c>
      <c r="I47" s="18">
        <f t="shared" si="2"/>
        <v>1000000</v>
      </c>
      <c r="J47" s="24"/>
    </row>
    <row r="48" spans="1:10" x14ac:dyDescent="0.25">
      <c r="A48" s="8"/>
      <c r="B48" s="14" t="s">
        <v>58</v>
      </c>
      <c r="C48" s="15">
        <v>47268701</v>
      </c>
      <c r="D48" s="15" t="s">
        <v>42</v>
      </c>
      <c r="E48" s="15">
        <v>5074828</v>
      </c>
      <c r="F48" s="15" t="s">
        <v>7</v>
      </c>
      <c r="G48" s="16">
        <v>1000000</v>
      </c>
      <c r="H48" s="17">
        <f>4716000*0.25</f>
        <v>1179000</v>
      </c>
      <c r="I48" s="18">
        <f t="shared" si="2"/>
        <v>1000000</v>
      </c>
      <c r="J48" s="24"/>
    </row>
    <row r="49" spans="1:10" x14ac:dyDescent="0.25">
      <c r="A49" s="8"/>
      <c r="B49" s="14" t="s">
        <v>58</v>
      </c>
      <c r="C49" s="15">
        <v>47268701</v>
      </c>
      <c r="D49" s="15" t="s">
        <v>42</v>
      </c>
      <c r="E49" s="15">
        <v>7138841</v>
      </c>
      <c r="F49" s="15" t="s">
        <v>8</v>
      </c>
      <c r="G49" s="16">
        <v>1000000</v>
      </c>
      <c r="H49" s="17">
        <f>4421000*0.25</f>
        <v>1105250</v>
      </c>
      <c r="I49" s="18">
        <f t="shared" si="2"/>
        <v>1000000</v>
      </c>
      <c r="J49" s="24"/>
    </row>
    <row r="50" spans="1:10" x14ac:dyDescent="0.25">
      <c r="A50" s="8"/>
      <c r="B50" s="14" t="s">
        <v>26</v>
      </c>
      <c r="C50" s="15">
        <v>27023583</v>
      </c>
      <c r="D50" s="15" t="s">
        <v>5</v>
      </c>
      <c r="E50" s="15">
        <v>3384659</v>
      </c>
      <c r="F50" s="15" t="s">
        <v>27</v>
      </c>
      <c r="G50" s="16">
        <v>1055000</v>
      </c>
      <c r="H50" s="17">
        <f>4223000*0.25</f>
        <v>1055750</v>
      </c>
      <c r="I50" s="18">
        <f t="shared" si="2"/>
        <v>1055000</v>
      </c>
      <c r="J50" s="24"/>
    </row>
    <row r="51" spans="1:10" x14ac:dyDescent="0.25">
      <c r="A51" s="8"/>
      <c r="B51" s="14" t="s">
        <v>26</v>
      </c>
      <c r="C51" s="15">
        <v>27023583</v>
      </c>
      <c r="D51" s="15" t="s">
        <v>5</v>
      </c>
      <c r="E51" s="15">
        <v>6178882</v>
      </c>
      <c r="F51" s="15" t="s">
        <v>10</v>
      </c>
      <c r="G51" s="16">
        <v>2300000</v>
      </c>
      <c r="H51" s="17">
        <f>9234000*0.25</f>
        <v>2308500</v>
      </c>
      <c r="I51" s="18">
        <f t="shared" si="2"/>
        <v>2300000</v>
      </c>
      <c r="J51" s="24"/>
    </row>
    <row r="52" spans="1:10" x14ac:dyDescent="0.25">
      <c r="A52" s="8"/>
      <c r="B52" s="14" t="s">
        <v>17</v>
      </c>
      <c r="C52" s="15">
        <v>25154541</v>
      </c>
      <c r="D52" s="15" t="s">
        <v>12</v>
      </c>
      <c r="E52" s="15">
        <v>3168284</v>
      </c>
      <c r="F52" s="15" t="s">
        <v>18</v>
      </c>
      <c r="G52" s="16">
        <v>1650000</v>
      </c>
      <c r="H52" s="17">
        <f>5249000*0.25</f>
        <v>1312250</v>
      </c>
      <c r="I52" s="18">
        <f t="shared" si="2"/>
        <v>1312000</v>
      </c>
      <c r="J52" s="25" t="s">
        <v>77</v>
      </c>
    </row>
    <row r="53" spans="1:10" x14ac:dyDescent="0.25">
      <c r="A53" s="8"/>
      <c r="B53" s="14" t="s">
        <v>32</v>
      </c>
      <c r="C53" s="15">
        <v>26633582</v>
      </c>
      <c r="D53" s="15" t="s">
        <v>5</v>
      </c>
      <c r="E53" s="15">
        <v>3474981</v>
      </c>
      <c r="F53" s="15" t="s">
        <v>27</v>
      </c>
      <c r="G53" s="16">
        <v>1500000</v>
      </c>
      <c r="H53" s="17">
        <f>6758000*0.25</f>
        <v>1689500</v>
      </c>
      <c r="I53" s="18">
        <f t="shared" si="2"/>
        <v>1500000</v>
      </c>
      <c r="J53" s="24"/>
    </row>
    <row r="54" spans="1:10" x14ac:dyDescent="0.25">
      <c r="A54" s="8"/>
      <c r="B54" s="14" t="s">
        <v>60</v>
      </c>
      <c r="C54" s="15">
        <v>10665048</v>
      </c>
      <c r="D54" s="15" t="s">
        <v>5</v>
      </c>
      <c r="E54" s="15">
        <v>4297552</v>
      </c>
      <c r="F54" s="15" t="s">
        <v>14</v>
      </c>
      <c r="G54" s="16">
        <v>120000</v>
      </c>
      <c r="H54" s="17">
        <f>482000*0.25</f>
        <v>120500</v>
      </c>
      <c r="I54" s="18">
        <f t="shared" si="2"/>
        <v>120000</v>
      </c>
      <c r="J54" s="25"/>
    </row>
    <row r="55" spans="1:10" x14ac:dyDescent="0.25">
      <c r="A55" s="8"/>
      <c r="B55" s="14" t="s">
        <v>60</v>
      </c>
      <c r="C55" s="15">
        <v>10665048</v>
      </c>
      <c r="D55" s="15" t="s">
        <v>5</v>
      </c>
      <c r="E55" s="15">
        <v>3378328</v>
      </c>
      <c r="F55" s="15" t="s">
        <v>61</v>
      </c>
      <c r="G55" s="16">
        <v>190000</v>
      </c>
      <c r="H55" s="17">
        <f>765000*0.25</f>
        <v>191250</v>
      </c>
      <c r="I55" s="18">
        <f t="shared" si="2"/>
        <v>190000</v>
      </c>
      <c r="J55" s="25"/>
    </row>
    <row r="56" spans="1:10" x14ac:dyDescent="0.25">
      <c r="A56" s="8"/>
      <c r="B56" s="14" t="s">
        <v>28</v>
      </c>
      <c r="C56" s="15">
        <v>28090080</v>
      </c>
      <c r="D56" s="15" t="s">
        <v>12</v>
      </c>
      <c r="E56" s="15">
        <v>5353237</v>
      </c>
      <c r="F56" s="15" t="s">
        <v>6</v>
      </c>
      <c r="G56" s="16">
        <v>960250</v>
      </c>
      <c r="H56" s="17">
        <f>3841000*0.25</f>
        <v>960250</v>
      </c>
      <c r="I56" s="18">
        <f t="shared" si="2"/>
        <v>960000</v>
      </c>
      <c r="J56" s="25"/>
    </row>
    <row r="57" spans="1:10" x14ac:dyDescent="0.25">
      <c r="A57" s="8"/>
      <c r="B57" s="14" t="s">
        <v>28</v>
      </c>
      <c r="C57" s="15">
        <v>28090080</v>
      </c>
      <c r="D57" s="15" t="s">
        <v>12</v>
      </c>
      <c r="E57" s="15">
        <v>4914293</v>
      </c>
      <c r="F57" s="15" t="s">
        <v>8</v>
      </c>
      <c r="G57" s="16">
        <v>659000</v>
      </c>
      <c r="H57" s="17">
        <f>2636000*0.25</f>
        <v>659000</v>
      </c>
      <c r="I57" s="18">
        <f t="shared" si="2"/>
        <v>659000</v>
      </c>
      <c r="J57" s="25"/>
    </row>
    <row r="58" spans="1:10" x14ac:dyDescent="0.25">
      <c r="A58" s="8"/>
      <c r="B58" s="14" t="s">
        <v>28</v>
      </c>
      <c r="C58" s="15">
        <v>28090080</v>
      </c>
      <c r="D58" s="15" t="s">
        <v>12</v>
      </c>
      <c r="E58" s="15">
        <v>8037754</v>
      </c>
      <c r="F58" s="15" t="s">
        <v>9</v>
      </c>
      <c r="G58" s="16">
        <v>507000</v>
      </c>
      <c r="H58" s="17">
        <f>2028000*0.25</f>
        <v>507000</v>
      </c>
      <c r="I58" s="18">
        <f t="shared" si="2"/>
        <v>507000</v>
      </c>
      <c r="J58" s="24"/>
    </row>
    <row r="59" spans="1:10" x14ac:dyDescent="0.25">
      <c r="A59" s="8"/>
      <c r="B59" s="14" t="s">
        <v>25</v>
      </c>
      <c r="C59" s="15">
        <v>70812187</v>
      </c>
      <c r="D59" s="15" t="s">
        <v>12</v>
      </c>
      <c r="E59" s="15">
        <v>3503896</v>
      </c>
      <c r="F59" s="15" t="s">
        <v>9</v>
      </c>
      <c r="G59" s="16">
        <v>500000</v>
      </c>
      <c r="H59" s="17">
        <f>2909000*0.25</f>
        <v>727250</v>
      </c>
      <c r="I59" s="18">
        <f t="shared" si="2"/>
        <v>500000</v>
      </c>
      <c r="J59" s="24"/>
    </row>
    <row r="60" spans="1:10" x14ac:dyDescent="0.25">
      <c r="A60" s="8"/>
      <c r="B60" s="14" t="s">
        <v>22</v>
      </c>
      <c r="C60" s="15">
        <v>28136233</v>
      </c>
      <c r="D60" s="15" t="s">
        <v>12</v>
      </c>
      <c r="E60" s="15">
        <v>6481063</v>
      </c>
      <c r="F60" s="15" t="s">
        <v>10</v>
      </c>
      <c r="G60" s="16">
        <v>440000</v>
      </c>
      <c r="H60" s="17">
        <f>1437000*0.25</f>
        <v>359250</v>
      </c>
      <c r="I60" s="18">
        <f t="shared" si="2"/>
        <v>359000</v>
      </c>
      <c r="J60" s="25" t="s">
        <v>77</v>
      </c>
    </row>
    <row r="61" spans="1:10" x14ac:dyDescent="0.25">
      <c r="A61" s="8"/>
      <c r="B61" s="14" t="s">
        <v>41</v>
      </c>
      <c r="C61" s="15">
        <v>43852564</v>
      </c>
      <c r="D61" s="15" t="s">
        <v>42</v>
      </c>
      <c r="E61" s="15">
        <v>5053162</v>
      </c>
      <c r="F61" s="15" t="s">
        <v>14</v>
      </c>
      <c r="G61" s="16">
        <v>155000</v>
      </c>
      <c r="H61" s="17">
        <f>627000*0.25</f>
        <v>156750</v>
      </c>
      <c r="I61" s="18">
        <f t="shared" ref="I61:I138" si="3">FLOOR(MIN(G61,H61),1000)</f>
        <v>155000</v>
      </c>
      <c r="J61" s="24"/>
    </row>
    <row r="62" spans="1:10" x14ac:dyDescent="0.25">
      <c r="A62" s="8"/>
      <c r="B62" s="14" t="s">
        <v>41</v>
      </c>
      <c r="C62" s="15">
        <v>43852564</v>
      </c>
      <c r="D62" s="15" t="s">
        <v>42</v>
      </c>
      <c r="E62" s="15">
        <v>8514213</v>
      </c>
      <c r="F62" s="15" t="s">
        <v>43</v>
      </c>
      <c r="G62" s="16">
        <v>105000</v>
      </c>
      <c r="H62" s="17">
        <f>435000*0.25</f>
        <v>108750</v>
      </c>
      <c r="I62" s="18">
        <f t="shared" si="3"/>
        <v>105000</v>
      </c>
      <c r="J62" s="24"/>
    </row>
    <row r="63" spans="1:10" x14ac:dyDescent="0.25">
      <c r="A63" s="8"/>
      <c r="B63" s="14" t="s">
        <v>41</v>
      </c>
      <c r="C63" s="15">
        <v>43852564</v>
      </c>
      <c r="D63" s="15" t="s">
        <v>42</v>
      </c>
      <c r="E63" s="15">
        <v>3340532</v>
      </c>
      <c r="F63" s="15" t="s">
        <v>35</v>
      </c>
      <c r="G63" s="16">
        <v>350000</v>
      </c>
      <c r="H63" s="17">
        <f>1404000*0.25</f>
        <v>351000</v>
      </c>
      <c r="I63" s="18">
        <f t="shared" si="3"/>
        <v>350000</v>
      </c>
      <c r="J63" s="24"/>
    </row>
    <row r="64" spans="1:10" x14ac:dyDescent="0.25">
      <c r="A64" s="8"/>
      <c r="B64" s="14" t="s">
        <v>41</v>
      </c>
      <c r="C64" s="15">
        <v>43852564</v>
      </c>
      <c r="D64" s="15" t="s">
        <v>42</v>
      </c>
      <c r="E64" s="15">
        <v>2501288</v>
      </c>
      <c r="F64" s="15" t="s">
        <v>21</v>
      </c>
      <c r="G64" s="16">
        <v>625000</v>
      </c>
      <c r="H64" s="17">
        <f>2513000*0.25</f>
        <v>628250</v>
      </c>
      <c r="I64" s="18">
        <f t="shared" si="3"/>
        <v>625000</v>
      </c>
      <c r="J64" s="24"/>
    </row>
    <row r="65" spans="1:10" x14ac:dyDescent="0.25">
      <c r="A65" s="8"/>
      <c r="B65" s="14" t="s">
        <v>41</v>
      </c>
      <c r="C65" s="15">
        <v>43852564</v>
      </c>
      <c r="D65" s="15" t="s">
        <v>42</v>
      </c>
      <c r="E65" s="15">
        <v>9767436</v>
      </c>
      <c r="F65" s="15" t="s">
        <v>21</v>
      </c>
      <c r="G65" s="16">
        <v>1455000</v>
      </c>
      <c r="H65" s="17">
        <f>5837000*0.25</f>
        <v>1459250</v>
      </c>
      <c r="I65" s="18">
        <f t="shared" si="3"/>
        <v>1455000</v>
      </c>
      <c r="J65" s="24"/>
    </row>
    <row r="66" spans="1:10" x14ac:dyDescent="0.25">
      <c r="A66" s="8"/>
      <c r="B66" s="14" t="s">
        <v>57</v>
      </c>
      <c r="C66" s="15">
        <v>5763444</v>
      </c>
      <c r="D66" s="15" t="s">
        <v>5</v>
      </c>
      <c r="E66" s="15">
        <v>8476476</v>
      </c>
      <c r="F66" s="15" t="s">
        <v>8</v>
      </c>
      <c r="G66" s="16">
        <v>700000</v>
      </c>
      <c r="H66" s="17">
        <f>2480000/6.5*7.77*0.25</f>
        <v>741138.4615384615</v>
      </c>
      <c r="I66" s="18">
        <f t="shared" ref="I66:I71" si="4">FLOOR(MIN(G66,H66),1000)</f>
        <v>700000</v>
      </c>
      <c r="J66" s="25"/>
    </row>
    <row r="67" spans="1:10" x14ac:dyDescent="0.25">
      <c r="A67" s="8"/>
      <c r="B67" s="14" t="s">
        <v>74</v>
      </c>
      <c r="C67" s="15">
        <v>26103630</v>
      </c>
      <c r="D67" s="15" t="s">
        <v>12</v>
      </c>
      <c r="E67" s="15">
        <v>4040961</v>
      </c>
      <c r="F67" s="15" t="s">
        <v>44</v>
      </c>
      <c r="G67" s="16">
        <v>1107000</v>
      </c>
      <c r="H67" s="17">
        <v>0</v>
      </c>
      <c r="I67" s="18">
        <f t="shared" si="4"/>
        <v>0</v>
      </c>
      <c r="J67" s="25" t="s">
        <v>79</v>
      </c>
    </row>
    <row r="68" spans="1:10" x14ac:dyDescent="0.25">
      <c r="A68" s="8"/>
      <c r="B68" s="14" t="s">
        <v>74</v>
      </c>
      <c r="C68" s="15">
        <v>26103630</v>
      </c>
      <c r="D68" s="15" t="s">
        <v>12</v>
      </c>
      <c r="E68" s="15">
        <v>2457563</v>
      </c>
      <c r="F68" s="15" t="s">
        <v>10</v>
      </c>
      <c r="G68" s="16">
        <v>837000</v>
      </c>
      <c r="H68" s="17">
        <f>3348000*0.25</f>
        <v>837000</v>
      </c>
      <c r="I68" s="18">
        <f t="shared" si="4"/>
        <v>837000</v>
      </c>
      <c r="J68" s="24"/>
    </row>
    <row r="69" spans="1:10" x14ac:dyDescent="0.25">
      <c r="A69" s="8"/>
      <c r="B69" s="14" t="s">
        <v>66</v>
      </c>
      <c r="C69" s="15">
        <v>69093083</v>
      </c>
      <c r="D69" s="15" t="s">
        <v>42</v>
      </c>
      <c r="E69" s="15">
        <v>9545331</v>
      </c>
      <c r="F69" s="15" t="s">
        <v>8</v>
      </c>
      <c r="G69" s="16">
        <v>300000</v>
      </c>
      <c r="H69" s="17">
        <f>3365000*0.25</f>
        <v>841250</v>
      </c>
      <c r="I69" s="18">
        <f t="shared" si="4"/>
        <v>300000</v>
      </c>
      <c r="J69" s="24"/>
    </row>
    <row r="70" spans="1:10" x14ac:dyDescent="0.25">
      <c r="A70" s="8"/>
      <c r="B70" s="14" t="s">
        <v>66</v>
      </c>
      <c r="C70" s="15">
        <v>69093083</v>
      </c>
      <c r="D70" s="15" t="s">
        <v>42</v>
      </c>
      <c r="E70" s="15">
        <v>1002436</v>
      </c>
      <c r="F70" s="15" t="s">
        <v>21</v>
      </c>
      <c r="G70" s="16">
        <v>500000</v>
      </c>
      <c r="H70" s="17">
        <f>6514000*0.25</f>
        <v>1628500</v>
      </c>
      <c r="I70" s="18">
        <f t="shared" si="4"/>
        <v>500000</v>
      </c>
      <c r="J70" s="24"/>
    </row>
    <row r="71" spans="1:10" x14ac:dyDescent="0.25">
      <c r="A71" s="8"/>
      <c r="B71" s="14" t="s">
        <v>66</v>
      </c>
      <c r="C71" s="15">
        <v>69093083</v>
      </c>
      <c r="D71" s="15" t="s">
        <v>42</v>
      </c>
      <c r="E71" s="15">
        <v>6048219</v>
      </c>
      <c r="F71" s="15" t="s">
        <v>19</v>
      </c>
      <c r="G71" s="16">
        <v>900000</v>
      </c>
      <c r="H71" s="17">
        <f>6295000*0.25</f>
        <v>1573750</v>
      </c>
      <c r="I71" s="18">
        <f t="shared" si="4"/>
        <v>900000</v>
      </c>
      <c r="J71" s="25"/>
    </row>
    <row r="72" spans="1:10" x14ac:dyDescent="0.25">
      <c r="A72" s="8"/>
      <c r="B72" s="14" t="s">
        <v>80</v>
      </c>
      <c r="C72" s="15">
        <v>60072709</v>
      </c>
      <c r="D72" s="15" t="s">
        <v>42</v>
      </c>
      <c r="E72" s="15">
        <v>2399278</v>
      </c>
      <c r="F72" s="15" t="s">
        <v>81</v>
      </c>
      <c r="G72" s="16">
        <v>306000</v>
      </c>
      <c r="H72" s="17">
        <f>2931000*0.25</f>
        <v>732750</v>
      </c>
      <c r="I72" s="18">
        <f t="shared" ref="I72:I80" si="5">FLOOR(MIN(G72,H72),1000)</f>
        <v>306000</v>
      </c>
      <c r="J72" s="24"/>
    </row>
    <row r="73" spans="1:10" x14ac:dyDescent="0.25">
      <c r="A73" s="8"/>
      <c r="B73" s="14" t="s">
        <v>80</v>
      </c>
      <c r="C73" s="15">
        <v>60072709</v>
      </c>
      <c r="D73" s="15" t="s">
        <v>42</v>
      </c>
      <c r="E73" s="15">
        <v>9931015</v>
      </c>
      <c r="F73" s="15" t="s">
        <v>35</v>
      </c>
      <c r="G73" s="16">
        <v>482000</v>
      </c>
      <c r="H73" s="17">
        <f>3925000*0.25</f>
        <v>981250</v>
      </c>
      <c r="I73" s="18">
        <f t="shared" si="5"/>
        <v>482000</v>
      </c>
      <c r="J73" s="24"/>
    </row>
    <row r="74" spans="1:10" x14ac:dyDescent="0.25">
      <c r="A74" s="8"/>
      <c r="B74" s="14" t="s">
        <v>80</v>
      </c>
      <c r="C74" s="15">
        <v>60072709</v>
      </c>
      <c r="D74" s="15" t="s">
        <v>42</v>
      </c>
      <c r="E74" s="15">
        <v>5783470</v>
      </c>
      <c r="F74" s="15" t="s">
        <v>46</v>
      </c>
      <c r="G74" s="16">
        <v>389000</v>
      </c>
      <c r="H74" s="17">
        <f>3512000*0.25</f>
        <v>878000</v>
      </c>
      <c r="I74" s="18">
        <f t="shared" si="5"/>
        <v>389000</v>
      </c>
      <c r="J74" s="24"/>
    </row>
    <row r="75" spans="1:10" x14ac:dyDescent="0.25">
      <c r="A75" s="8"/>
      <c r="B75" s="14" t="s">
        <v>80</v>
      </c>
      <c r="C75" s="15">
        <v>60072709</v>
      </c>
      <c r="D75" s="15" t="s">
        <v>42</v>
      </c>
      <c r="E75" s="15">
        <v>9034486</v>
      </c>
      <c r="F75" s="15" t="s">
        <v>14</v>
      </c>
      <c r="G75" s="16">
        <v>125000</v>
      </c>
      <c r="H75" s="17">
        <f>905000*0.25</f>
        <v>226250</v>
      </c>
      <c r="I75" s="18">
        <f t="shared" si="5"/>
        <v>125000</v>
      </c>
      <c r="J75" s="24"/>
    </row>
    <row r="76" spans="1:10" x14ac:dyDescent="0.25">
      <c r="A76" s="8"/>
      <c r="B76" s="14" t="s">
        <v>80</v>
      </c>
      <c r="C76" s="15">
        <v>60072709</v>
      </c>
      <c r="D76" s="15" t="s">
        <v>42</v>
      </c>
      <c r="E76" s="15">
        <v>1280102</v>
      </c>
      <c r="F76" s="15" t="s">
        <v>8</v>
      </c>
      <c r="G76" s="16">
        <v>752000</v>
      </c>
      <c r="H76" s="17">
        <f>4811000*0.25</f>
        <v>1202750</v>
      </c>
      <c r="I76" s="18">
        <f t="shared" si="5"/>
        <v>752000</v>
      </c>
      <c r="J76" s="24"/>
    </row>
    <row r="77" spans="1:10" x14ac:dyDescent="0.25">
      <c r="A77" s="8"/>
      <c r="B77" s="14" t="s">
        <v>80</v>
      </c>
      <c r="C77" s="15">
        <v>60072709</v>
      </c>
      <c r="D77" s="15" t="s">
        <v>42</v>
      </c>
      <c r="E77" s="15">
        <v>8321695</v>
      </c>
      <c r="F77" s="15" t="s">
        <v>21</v>
      </c>
      <c r="G77" s="16">
        <v>1713000</v>
      </c>
      <c r="H77" s="17">
        <f>11051000*0.25</f>
        <v>2762750</v>
      </c>
      <c r="I77" s="18">
        <f t="shared" si="5"/>
        <v>1713000</v>
      </c>
      <c r="J77" s="24"/>
    </row>
    <row r="78" spans="1:10" x14ac:dyDescent="0.25">
      <c r="A78" s="8"/>
      <c r="B78" s="14" t="s">
        <v>80</v>
      </c>
      <c r="C78" s="15">
        <v>60072709</v>
      </c>
      <c r="D78" s="15" t="s">
        <v>42</v>
      </c>
      <c r="E78" s="15">
        <v>7724596</v>
      </c>
      <c r="F78" s="15" t="s">
        <v>61</v>
      </c>
      <c r="G78" s="16">
        <v>324000</v>
      </c>
      <c r="H78" s="17">
        <f>2971000*0.25</f>
        <v>742750</v>
      </c>
      <c r="I78" s="18">
        <f t="shared" si="5"/>
        <v>324000</v>
      </c>
      <c r="J78" s="24"/>
    </row>
    <row r="79" spans="1:10" x14ac:dyDescent="0.25">
      <c r="A79" s="8"/>
      <c r="B79" s="14" t="s">
        <v>80</v>
      </c>
      <c r="C79" s="15">
        <v>60072709</v>
      </c>
      <c r="D79" s="15" t="s">
        <v>42</v>
      </c>
      <c r="E79" s="15">
        <v>6719271</v>
      </c>
      <c r="F79" s="15" t="s">
        <v>43</v>
      </c>
      <c r="G79" s="16">
        <v>384000</v>
      </c>
      <c r="H79" s="17">
        <f>3262000*0.25</f>
        <v>815500</v>
      </c>
      <c r="I79" s="18">
        <f t="shared" si="5"/>
        <v>384000</v>
      </c>
      <c r="J79" s="24"/>
    </row>
    <row r="80" spans="1:10" x14ac:dyDescent="0.25">
      <c r="A80" s="8"/>
      <c r="B80" s="14" t="s">
        <v>80</v>
      </c>
      <c r="C80" s="15">
        <v>60072709</v>
      </c>
      <c r="D80" s="15" t="s">
        <v>42</v>
      </c>
      <c r="E80" s="15">
        <v>9436316</v>
      </c>
      <c r="F80" s="15" t="s">
        <v>36</v>
      </c>
      <c r="G80" s="16">
        <v>525000</v>
      </c>
      <c r="H80" s="17">
        <f>4775000*0.25</f>
        <v>1193750</v>
      </c>
      <c r="I80" s="18">
        <f t="shared" si="5"/>
        <v>525000</v>
      </c>
      <c r="J80" s="24"/>
    </row>
    <row r="81" spans="1:10" x14ac:dyDescent="0.25">
      <c r="A81" s="8"/>
      <c r="B81" s="14" t="s">
        <v>20</v>
      </c>
      <c r="C81" s="15">
        <v>28138520</v>
      </c>
      <c r="D81" s="15" t="s">
        <v>12</v>
      </c>
      <c r="E81" s="15">
        <v>5088874</v>
      </c>
      <c r="F81" s="15" t="s">
        <v>21</v>
      </c>
      <c r="G81" s="16">
        <v>574000</v>
      </c>
      <c r="H81" s="17">
        <f>1246000*0.25</f>
        <v>311500</v>
      </c>
      <c r="I81" s="18">
        <f t="shared" si="3"/>
        <v>311000</v>
      </c>
      <c r="J81" s="25" t="s">
        <v>77</v>
      </c>
    </row>
    <row r="82" spans="1:10" x14ac:dyDescent="0.25">
      <c r="A82" s="8"/>
      <c r="B82" s="14" t="s">
        <v>20</v>
      </c>
      <c r="C82" s="15">
        <v>28138520</v>
      </c>
      <c r="D82" s="15" t="s">
        <v>12</v>
      </c>
      <c r="E82" s="15">
        <v>1867067</v>
      </c>
      <c r="F82" s="15" t="s">
        <v>44</v>
      </c>
      <c r="G82" s="16">
        <v>756000</v>
      </c>
      <c r="H82" s="17">
        <v>0</v>
      </c>
      <c r="I82" s="18">
        <f t="shared" si="3"/>
        <v>0</v>
      </c>
      <c r="J82" s="25" t="s">
        <v>79</v>
      </c>
    </row>
    <row r="83" spans="1:10" x14ac:dyDescent="0.25">
      <c r="A83" s="8"/>
      <c r="B83" s="14" t="s">
        <v>20</v>
      </c>
      <c r="C83" s="15">
        <v>28138520</v>
      </c>
      <c r="D83" s="15" t="s">
        <v>12</v>
      </c>
      <c r="E83" s="15">
        <v>2897943</v>
      </c>
      <c r="F83" s="15" t="s">
        <v>10</v>
      </c>
      <c r="G83" s="16">
        <v>462000</v>
      </c>
      <c r="H83" s="17">
        <f>1513000*0.25</f>
        <v>378250</v>
      </c>
      <c r="I83" s="18">
        <f t="shared" si="3"/>
        <v>378000</v>
      </c>
      <c r="J83" s="25" t="s">
        <v>77</v>
      </c>
    </row>
    <row r="84" spans="1:10" x14ac:dyDescent="0.25">
      <c r="A84" s="8"/>
      <c r="B84" s="14" t="s">
        <v>82</v>
      </c>
      <c r="C84" s="15">
        <v>28552288</v>
      </c>
      <c r="D84" s="15" t="s">
        <v>5</v>
      </c>
      <c r="E84" s="15">
        <v>2534470</v>
      </c>
      <c r="F84" s="15" t="s">
        <v>7</v>
      </c>
      <c r="G84" s="16">
        <v>130000</v>
      </c>
      <c r="H84" s="17">
        <f>647000*0.25</f>
        <v>161750</v>
      </c>
      <c r="I84" s="18">
        <f t="shared" si="3"/>
        <v>130000</v>
      </c>
      <c r="J84" s="25"/>
    </row>
    <row r="85" spans="1:10" x14ac:dyDescent="0.25">
      <c r="A85" s="8"/>
      <c r="B85" s="14" t="s">
        <v>82</v>
      </c>
      <c r="C85" s="15">
        <v>28552288</v>
      </c>
      <c r="D85" s="15" t="s">
        <v>5</v>
      </c>
      <c r="E85" s="15">
        <v>3861284</v>
      </c>
      <c r="F85" s="15" t="s">
        <v>9</v>
      </c>
      <c r="G85" s="16">
        <v>600000</v>
      </c>
      <c r="H85" s="17">
        <f>3204000*0.25</f>
        <v>801000</v>
      </c>
      <c r="I85" s="18">
        <f t="shared" si="3"/>
        <v>600000</v>
      </c>
      <c r="J85" s="25"/>
    </row>
    <row r="86" spans="1:10" x14ac:dyDescent="0.25">
      <c r="A86" s="8"/>
      <c r="B86" s="14" t="s">
        <v>82</v>
      </c>
      <c r="C86" s="15">
        <v>28552288</v>
      </c>
      <c r="D86" s="15" t="s">
        <v>5</v>
      </c>
      <c r="E86" s="15">
        <v>5906103</v>
      </c>
      <c r="F86" s="15" t="s">
        <v>63</v>
      </c>
      <c r="G86" s="16">
        <v>460000</v>
      </c>
      <c r="H86" s="17">
        <f>2251000*0.25</f>
        <v>562750</v>
      </c>
      <c r="I86" s="18">
        <f t="shared" si="3"/>
        <v>460000</v>
      </c>
      <c r="J86" s="25"/>
    </row>
    <row r="87" spans="1:10" x14ac:dyDescent="0.25">
      <c r="A87" s="8"/>
      <c r="B87" s="14" t="s">
        <v>47</v>
      </c>
      <c r="C87" s="15">
        <v>70815089</v>
      </c>
      <c r="D87" s="15" t="s">
        <v>12</v>
      </c>
      <c r="E87" s="15">
        <v>8650504</v>
      </c>
      <c r="F87" s="15" t="s">
        <v>14</v>
      </c>
      <c r="G87" s="16">
        <v>450000</v>
      </c>
      <c r="H87" s="17">
        <f>1809000*0.25</f>
        <v>452250</v>
      </c>
      <c r="I87" s="18">
        <f t="shared" ref="I87:I105" si="6">FLOOR(MIN(G87,H87),1000)</f>
        <v>450000</v>
      </c>
      <c r="J87" s="24"/>
    </row>
    <row r="88" spans="1:10" x14ac:dyDescent="0.25">
      <c r="A88" s="8"/>
      <c r="B88" s="14" t="s">
        <v>47</v>
      </c>
      <c r="C88" s="15">
        <v>70815089</v>
      </c>
      <c r="D88" s="15" t="s">
        <v>12</v>
      </c>
      <c r="E88" s="15">
        <v>9228308</v>
      </c>
      <c r="F88" s="15" t="s">
        <v>43</v>
      </c>
      <c r="G88" s="16">
        <v>720000</v>
      </c>
      <c r="H88" s="17">
        <f>2900000*0.25</f>
        <v>725000</v>
      </c>
      <c r="I88" s="18">
        <f t="shared" si="6"/>
        <v>720000</v>
      </c>
      <c r="J88" s="24"/>
    </row>
    <row r="89" spans="1:10" x14ac:dyDescent="0.25">
      <c r="A89" s="8"/>
      <c r="B89" s="14" t="s">
        <v>47</v>
      </c>
      <c r="C89" s="15">
        <v>70815089</v>
      </c>
      <c r="D89" s="15" t="s">
        <v>12</v>
      </c>
      <c r="E89" s="15">
        <v>5997196</v>
      </c>
      <c r="F89" s="15" t="s">
        <v>8</v>
      </c>
      <c r="G89" s="16">
        <v>1500000</v>
      </c>
      <c r="H89" s="17">
        <f>6031000*0.25</f>
        <v>1507750</v>
      </c>
      <c r="I89" s="18">
        <f t="shared" si="6"/>
        <v>1500000</v>
      </c>
      <c r="J89" s="24"/>
    </row>
    <row r="90" spans="1:10" x14ac:dyDescent="0.25">
      <c r="A90" s="8"/>
      <c r="B90" s="14" t="s">
        <v>71</v>
      </c>
      <c r="C90" s="15">
        <v>26537036</v>
      </c>
      <c r="D90" s="15" t="s">
        <v>12</v>
      </c>
      <c r="E90" s="15">
        <v>4996956</v>
      </c>
      <c r="F90" s="15" t="s">
        <v>10</v>
      </c>
      <c r="G90" s="16">
        <v>450000</v>
      </c>
      <c r="H90" s="17">
        <f>1513000*0.25</f>
        <v>378250</v>
      </c>
      <c r="I90" s="18">
        <f t="shared" si="6"/>
        <v>378000</v>
      </c>
      <c r="J90" s="24" t="s">
        <v>77</v>
      </c>
    </row>
    <row r="91" spans="1:10" x14ac:dyDescent="0.25">
      <c r="A91" s="8"/>
      <c r="B91" s="14" t="s">
        <v>55</v>
      </c>
      <c r="C91" s="15">
        <v>25193660</v>
      </c>
      <c r="D91" s="15" t="s">
        <v>12</v>
      </c>
      <c r="E91" s="15">
        <v>8320841</v>
      </c>
      <c r="F91" s="15" t="s">
        <v>56</v>
      </c>
      <c r="G91" s="16">
        <v>463000</v>
      </c>
      <c r="H91" s="17">
        <f>1728000*0.25</f>
        <v>432000</v>
      </c>
      <c r="I91" s="18">
        <f t="shared" si="6"/>
        <v>432000</v>
      </c>
      <c r="J91" s="25" t="s">
        <v>77</v>
      </c>
    </row>
    <row r="92" spans="1:10" x14ac:dyDescent="0.25">
      <c r="A92" s="8"/>
      <c r="B92" s="14" t="s">
        <v>55</v>
      </c>
      <c r="C92" s="15">
        <v>25193660</v>
      </c>
      <c r="D92" s="15" t="s">
        <v>12</v>
      </c>
      <c r="E92" s="15">
        <v>2283917</v>
      </c>
      <c r="F92" s="15" t="s">
        <v>14</v>
      </c>
      <c r="G92" s="16">
        <v>489000</v>
      </c>
      <c r="H92" s="17">
        <f>1951000*0.25</f>
        <v>487750</v>
      </c>
      <c r="I92" s="18">
        <f t="shared" si="6"/>
        <v>487000</v>
      </c>
      <c r="J92" s="25" t="s">
        <v>77</v>
      </c>
    </row>
    <row r="93" spans="1:10" x14ac:dyDescent="0.25">
      <c r="A93" s="8"/>
      <c r="B93" s="14" t="s">
        <v>15</v>
      </c>
      <c r="C93" s="15">
        <v>7118686</v>
      </c>
      <c r="D93" s="15" t="s">
        <v>16</v>
      </c>
      <c r="E93" s="15">
        <v>4365932</v>
      </c>
      <c r="F93" s="15" t="s">
        <v>7</v>
      </c>
      <c r="G93" s="16">
        <v>400000</v>
      </c>
      <c r="H93" s="17">
        <f>1613000*0.25</f>
        <v>403250</v>
      </c>
      <c r="I93" s="18">
        <f t="shared" si="6"/>
        <v>400000</v>
      </c>
      <c r="J93" s="25"/>
    </row>
    <row r="94" spans="1:10" x14ac:dyDescent="0.25">
      <c r="A94" s="8"/>
      <c r="B94" s="14" t="s">
        <v>84</v>
      </c>
      <c r="C94" s="15">
        <v>60083204</v>
      </c>
      <c r="D94" s="15" t="s">
        <v>5</v>
      </c>
      <c r="E94" s="15">
        <v>6411640</v>
      </c>
      <c r="F94" s="15" t="s">
        <v>34</v>
      </c>
      <c r="G94" s="16">
        <v>149363</v>
      </c>
      <c r="H94" s="17">
        <f>1946000*0.25</f>
        <v>486500</v>
      </c>
      <c r="I94" s="18">
        <f t="shared" si="6"/>
        <v>149000</v>
      </c>
      <c r="J94" s="25"/>
    </row>
    <row r="95" spans="1:10" x14ac:dyDescent="0.25">
      <c r="A95" s="8"/>
      <c r="B95" s="14" t="s">
        <v>84</v>
      </c>
      <c r="C95" s="15">
        <v>60083204</v>
      </c>
      <c r="D95" s="15" t="s">
        <v>5</v>
      </c>
      <c r="E95" s="15">
        <v>5538948</v>
      </c>
      <c r="F95" s="15" t="s">
        <v>13</v>
      </c>
      <c r="G95" s="16">
        <v>143513</v>
      </c>
      <c r="H95" s="17">
        <f>2222000*0.25</f>
        <v>555500</v>
      </c>
      <c r="I95" s="18">
        <f t="shared" si="6"/>
        <v>143000</v>
      </c>
      <c r="J95" s="25"/>
    </row>
    <row r="96" spans="1:10" x14ac:dyDescent="0.25">
      <c r="A96" s="8"/>
      <c r="B96" s="14" t="s">
        <v>84</v>
      </c>
      <c r="C96" s="15">
        <v>60083204</v>
      </c>
      <c r="D96" s="15" t="s">
        <v>5</v>
      </c>
      <c r="E96" s="15">
        <v>7465992</v>
      </c>
      <c r="F96" s="15" t="s">
        <v>14</v>
      </c>
      <c r="G96" s="16">
        <v>41926</v>
      </c>
      <c r="H96" s="17">
        <f>418000*0.25</f>
        <v>104500</v>
      </c>
      <c r="I96" s="18">
        <f t="shared" si="6"/>
        <v>41000</v>
      </c>
      <c r="J96" s="25"/>
    </row>
    <row r="97" spans="1:10" x14ac:dyDescent="0.25">
      <c r="A97" s="8"/>
      <c r="B97" s="14" t="s">
        <v>84</v>
      </c>
      <c r="C97" s="15">
        <v>60083204</v>
      </c>
      <c r="D97" s="15" t="s">
        <v>5</v>
      </c>
      <c r="E97" s="15">
        <v>4019778</v>
      </c>
      <c r="F97" s="15" t="s">
        <v>61</v>
      </c>
      <c r="G97" s="16">
        <v>53841</v>
      </c>
      <c r="H97" s="17">
        <f>649000*0.25</f>
        <v>162250</v>
      </c>
      <c r="I97" s="18">
        <f t="shared" si="6"/>
        <v>53000</v>
      </c>
      <c r="J97" s="25"/>
    </row>
    <row r="98" spans="1:10" x14ac:dyDescent="0.25">
      <c r="A98" s="8"/>
      <c r="B98" s="14" t="s">
        <v>84</v>
      </c>
      <c r="C98" s="15">
        <v>60083204</v>
      </c>
      <c r="D98" s="15" t="s">
        <v>5</v>
      </c>
      <c r="E98" s="15">
        <v>1708853</v>
      </c>
      <c r="F98" s="15" t="s">
        <v>36</v>
      </c>
      <c r="G98" s="16">
        <v>59182</v>
      </c>
      <c r="H98" s="17">
        <f>960000*0.25</f>
        <v>240000</v>
      </c>
      <c r="I98" s="18">
        <f t="shared" si="6"/>
        <v>59000</v>
      </c>
      <c r="J98" s="25"/>
    </row>
    <row r="99" spans="1:10" x14ac:dyDescent="0.25">
      <c r="A99" s="8"/>
      <c r="B99" s="14" t="s">
        <v>85</v>
      </c>
      <c r="C99" s="15">
        <v>45018316</v>
      </c>
      <c r="D99" s="15" t="s">
        <v>42</v>
      </c>
      <c r="E99" s="15">
        <v>8081579</v>
      </c>
      <c r="F99" s="15" t="s">
        <v>27</v>
      </c>
      <c r="G99" s="16">
        <v>1500000</v>
      </c>
      <c r="H99" s="17">
        <f>10700000*0.25</f>
        <v>2675000</v>
      </c>
      <c r="I99" s="18">
        <f t="shared" si="6"/>
        <v>1500000</v>
      </c>
      <c r="J99" s="25"/>
    </row>
    <row r="100" spans="1:10" x14ac:dyDescent="0.25">
      <c r="A100" s="8"/>
      <c r="B100" s="14" t="s">
        <v>85</v>
      </c>
      <c r="C100" s="15">
        <v>45018316</v>
      </c>
      <c r="D100" s="15" t="s">
        <v>42</v>
      </c>
      <c r="E100" s="15">
        <v>5931042</v>
      </c>
      <c r="F100" s="15" t="s">
        <v>86</v>
      </c>
      <c r="G100" s="16">
        <v>400000</v>
      </c>
      <c r="H100" s="17">
        <f>3725000*0.25</f>
        <v>931250</v>
      </c>
      <c r="I100" s="18">
        <f t="shared" si="6"/>
        <v>400000</v>
      </c>
      <c r="J100" s="25"/>
    </row>
    <row r="101" spans="1:10" x14ac:dyDescent="0.25">
      <c r="A101" s="8"/>
      <c r="B101" s="14" t="s">
        <v>85</v>
      </c>
      <c r="C101" s="15">
        <v>45018316</v>
      </c>
      <c r="D101" s="15" t="s">
        <v>42</v>
      </c>
      <c r="E101" s="15">
        <v>7117958</v>
      </c>
      <c r="F101" s="15" t="s">
        <v>14</v>
      </c>
      <c r="G101" s="16">
        <v>200000</v>
      </c>
      <c r="H101" s="17">
        <f>1324000*0.25</f>
        <v>331000</v>
      </c>
      <c r="I101" s="18">
        <f t="shared" si="6"/>
        <v>200000</v>
      </c>
      <c r="J101" s="25"/>
    </row>
    <row r="102" spans="1:10" x14ac:dyDescent="0.25">
      <c r="A102" s="8"/>
      <c r="B102" s="14" t="s">
        <v>87</v>
      </c>
      <c r="C102" s="15">
        <v>73632945</v>
      </c>
      <c r="D102" s="15" t="s">
        <v>42</v>
      </c>
      <c r="E102" s="15">
        <v>6347712</v>
      </c>
      <c r="F102" s="15" t="s">
        <v>35</v>
      </c>
      <c r="G102" s="16">
        <v>230000</v>
      </c>
      <c r="H102" s="17">
        <f>1584000*0.25</f>
        <v>396000</v>
      </c>
      <c r="I102" s="18">
        <f t="shared" si="6"/>
        <v>230000</v>
      </c>
      <c r="J102" s="25"/>
    </row>
    <row r="103" spans="1:10" x14ac:dyDescent="0.25">
      <c r="A103" s="8"/>
      <c r="B103" s="14" t="s">
        <v>87</v>
      </c>
      <c r="C103" s="15">
        <v>73632945</v>
      </c>
      <c r="D103" s="15" t="s">
        <v>42</v>
      </c>
      <c r="E103" s="15">
        <v>1353468</v>
      </c>
      <c r="F103" s="15" t="s">
        <v>14</v>
      </c>
      <c r="G103" s="16">
        <v>130000</v>
      </c>
      <c r="H103" s="17">
        <f>1254000*0.25</f>
        <v>313500</v>
      </c>
      <c r="I103" s="18">
        <f t="shared" si="6"/>
        <v>130000</v>
      </c>
      <c r="J103" s="25"/>
    </row>
    <row r="104" spans="1:10" x14ac:dyDescent="0.25">
      <c r="A104" s="8"/>
      <c r="B104" s="14" t="s">
        <v>87</v>
      </c>
      <c r="C104" s="15">
        <v>73632945</v>
      </c>
      <c r="D104" s="15" t="s">
        <v>42</v>
      </c>
      <c r="E104" s="15">
        <v>3413274</v>
      </c>
      <c r="F104" s="15" t="s">
        <v>21</v>
      </c>
      <c r="G104" s="16">
        <v>900000</v>
      </c>
      <c r="H104" s="17">
        <f>3406000*0.25</f>
        <v>851500</v>
      </c>
      <c r="I104" s="18">
        <f t="shared" si="6"/>
        <v>851000</v>
      </c>
      <c r="J104" s="25" t="s">
        <v>77</v>
      </c>
    </row>
    <row r="105" spans="1:10" x14ac:dyDescent="0.25">
      <c r="A105" s="8"/>
      <c r="B105" s="14" t="s">
        <v>87</v>
      </c>
      <c r="C105" s="15">
        <v>73632945</v>
      </c>
      <c r="D105" s="15" t="s">
        <v>42</v>
      </c>
      <c r="E105" s="15">
        <v>5852217</v>
      </c>
      <c r="F105" s="15" t="s">
        <v>43</v>
      </c>
      <c r="G105" s="16">
        <v>50000</v>
      </c>
      <c r="H105" s="17">
        <f>362000*0.25</f>
        <v>90500</v>
      </c>
      <c r="I105" s="18">
        <f t="shared" si="6"/>
        <v>50000</v>
      </c>
      <c r="J105" s="25"/>
    </row>
    <row r="106" spans="1:10" x14ac:dyDescent="0.25">
      <c r="A106" s="8"/>
      <c r="B106" s="14" t="s">
        <v>45</v>
      </c>
      <c r="C106" s="15">
        <v>46707107</v>
      </c>
      <c r="D106" s="15" t="s">
        <v>42</v>
      </c>
      <c r="E106" s="15">
        <v>6621472</v>
      </c>
      <c r="F106" s="15" t="s">
        <v>14</v>
      </c>
      <c r="G106" s="16">
        <v>45000</v>
      </c>
      <c r="H106" s="17">
        <f>348000*0.25</f>
        <v>87000</v>
      </c>
      <c r="I106" s="18">
        <f t="shared" si="3"/>
        <v>45000</v>
      </c>
      <c r="J106" s="24"/>
    </row>
    <row r="107" spans="1:10" x14ac:dyDescent="0.25">
      <c r="A107" s="8"/>
      <c r="B107" s="14" t="s">
        <v>45</v>
      </c>
      <c r="C107" s="15">
        <v>46707107</v>
      </c>
      <c r="D107" s="15" t="s">
        <v>42</v>
      </c>
      <c r="E107" s="15">
        <v>6498814</v>
      </c>
      <c r="F107" s="15" t="s">
        <v>14</v>
      </c>
      <c r="G107" s="16">
        <v>70000</v>
      </c>
      <c r="H107" s="17">
        <f>1289000*0.25</f>
        <v>322250</v>
      </c>
      <c r="I107" s="18">
        <f t="shared" si="3"/>
        <v>70000</v>
      </c>
      <c r="J107" s="24"/>
    </row>
    <row r="108" spans="1:10" x14ac:dyDescent="0.25">
      <c r="A108" s="8"/>
      <c r="B108" s="14" t="s">
        <v>45</v>
      </c>
      <c r="C108" s="15">
        <v>46707107</v>
      </c>
      <c r="D108" s="15" t="s">
        <v>42</v>
      </c>
      <c r="E108" s="15">
        <v>7029473</v>
      </c>
      <c r="F108" s="15" t="s">
        <v>36</v>
      </c>
      <c r="G108" s="16">
        <v>120000</v>
      </c>
      <c r="H108" s="17">
        <f>1942000*0.25</f>
        <v>485500</v>
      </c>
      <c r="I108" s="18">
        <f t="shared" si="3"/>
        <v>120000</v>
      </c>
      <c r="J108" s="24"/>
    </row>
    <row r="109" spans="1:10" x14ac:dyDescent="0.25">
      <c r="A109" s="8"/>
      <c r="B109" s="14" t="s">
        <v>45</v>
      </c>
      <c r="C109" s="15">
        <v>46707107</v>
      </c>
      <c r="D109" s="15" t="s">
        <v>42</v>
      </c>
      <c r="E109" s="15">
        <v>5502299</v>
      </c>
      <c r="F109" s="15" t="s">
        <v>34</v>
      </c>
      <c r="G109" s="16">
        <v>200000</v>
      </c>
      <c r="H109" s="17">
        <f>2752000*0.25</f>
        <v>688000</v>
      </c>
      <c r="I109" s="18">
        <f t="shared" si="3"/>
        <v>200000</v>
      </c>
      <c r="J109" s="24"/>
    </row>
    <row r="110" spans="1:10" x14ac:dyDescent="0.25">
      <c r="A110" s="8"/>
      <c r="B110" s="14" t="s">
        <v>45</v>
      </c>
      <c r="C110" s="15">
        <v>46707107</v>
      </c>
      <c r="D110" s="15" t="s">
        <v>42</v>
      </c>
      <c r="E110" s="15">
        <v>4113250</v>
      </c>
      <c r="F110" s="15" t="s">
        <v>36</v>
      </c>
      <c r="G110" s="16">
        <v>115000</v>
      </c>
      <c r="H110" s="17">
        <f>1618000*0.25</f>
        <v>404500</v>
      </c>
      <c r="I110" s="18">
        <f t="shared" si="3"/>
        <v>115000</v>
      </c>
      <c r="J110" s="24"/>
    </row>
    <row r="111" spans="1:10" x14ac:dyDescent="0.25">
      <c r="A111" s="8"/>
      <c r="B111" s="14" t="s">
        <v>45</v>
      </c>
      <c r="C111" s="15">
        <v>46707107</v>
      </c>
      <c r="D111" s="15" t="s">
        <v>42</v>
      </c>
      <c r="E111" s="15">
        <v>1074736</v>
      </c>
      <c r="F111" s="15" t="s">
        <v>46</v>
      </c>
      <c r="G111" s="16">
        <v>300000</v>
      </c>
      <c r="H111" s="17">
        <f>2300000*0.25</f>
        <v>575000</v>
      </c>
      <c r="I111" s="18">
        <f t="shared" si="3"/>
        <v>300000</v>
      </c>
      <c r="J111" s="24"/>
    </row>
    <row r="112" spans="1:10" x14ac:dyDescent="0.25">
      <c r="A112" s="8"/>
      <c r="B112" s="14" t="s">
        <v>29</v>
      </c>
      <c r="C112" s="15">
        <v>70858543</v>
      </c>
      <c r="D112" s="15" t="s">
        <v>16</v>
      </c>
      <c r="E112" s="15">
        <v>8115230</v>
      </c>
      <c r="F112" s="15" t="s">
        <v>27</v>
      </c>
      <c r="G112" s="16">
        <v>939000</v>
      </c>
      <c r="H112" s="17">
        <f>3756000*0.25</f>
        <v>939000</v>
      </c>
      <c r="I112" s="18">
        <f t="shared" ref="I112:I136" si="7">FLOOR(MIN(G112,H112),1000)</f>
        <v>939000</v>
      </c>
      <c r="J112" s="24"/>
    </row>
    <row r="113" spans="1:10" x14ac:dyDescent="0.25">
      <c r="A113" s="8"/>
      <c r="B113" s="14" t="s">
        <v>29</v>
      </c>
      <c r="C113" s="15">
        <v>70858543</v>
      </c>
      <c r="D113" s="15" t="s">
        <v>16</v>
      </c>
      <c r="E113" s="15">
        <v>6644695</v>
      </c>
      <c r="F113" s="15" t="s">
        <v>10</v>
      </c>
      <c r="G113" s="16">
        <v>2176000</v>
      </c>
      <c r="H113" s="17">
        <f>8704000*0.25</f>
        <v>2176000</v>
      </c>
      <c r="I113" s="18">
        <f t="shared" si="7"/>
        <v>2176000</v>
      </c>
      <c r="J113" s="24"/>
    </row>
    <row r="114" spans="1:10" x14ac:dyDescent="0.25">
      <c r="A114" s="8"/>
      <c r="B114" s="14" t="s">
        <v>54</v>
      </c>
      <c r="C114" s="15">
        <v>28066782</v>
      </c>
      <c r="D114" s="15" t="s">
        <v>12</v>
      </c>
      <c r="E114" s="15">
        <v>7469927</v>
      </c>
      <c r="F114" s="15" t="s">
        <v>21</v>
      </c>
      <c r="G114" s="16">
        <v>500000</v>
      </c>
      <c r="H114" s="17">
        <f>2991000*0.25</f>
        <v>747750</v>
      </c>
      <c r="I114" s="18">
        <f t="shared" si="7"/>
        <v>500000</v>
      </c>
      <c r="J114" s="24"/>
    </row>
    <row r="115" spans="1:10" x14ac:dyDescent="0.25">
      <c r="A115" s="8"/>
      <c r="B115" s="14" t="s">
        <v>69</v>
      </c>
      <c r="C115" s="15">
        <v>28112962</v>
      </c>
      <c r="D115" s="15" t="s">
        <v>12</v>
      </c>
      <c r="E115" s="15">
        <v>1435750</v>
      </c>
      <c r="F115" s="15" t="s">
        <v>21</v>
      </c>
      <c r="G115" s="16">
        <v>244000</v>
      </c>
      <c r="H115" s="17">
        <f>976000*0.25</f>
        <v>244000</v>
      </c>
      <c r="I115" s="18">
        <f t="shared" si="7"/>
        <v>244000</v>
      </c>
      <c r="J115" s="25"/>
    </row>
    <row r="116" spans="1:10" x14ac:dyDescent="0.25">
      <c r="A116" s="8"/>
      <c r="B116" s="14" t="s">
        <v>70</v>
      </c>
      <c r="C116" s="15">
        <v>26587955</v>
      </c>
      <c r="D116" s="15" t="s">
        <v>16</v>
      </c>
      <c r="E116" s="15">
        <v>2386214</v>
      </c>
      <c r="F116" s="15" t="s">
        <v>8</v>
      </c>
      <c r="G116" s="16">
        <v>262250</v>
      </c>
      <c r="H116" s="17">
        <f>1049000*0.25</f>
        <v>262250</v>
      </c>
      <c r="I116" s="18">
        <f t="shared" si="7"/>
        <v>262000</v>
      </c>
      <c r="J116" s="24"/>
    </row>
    <row r="117" spans="1:10" x14ac:dyDescent="0.25">
      <c r="A117" s="8"/>
      <c r="B117" s="14" t="s">
        <v>70</v>
      </c>
      <c r="C117" s="15">
        <v>26587955</v>
      </c>
      <c r="D117" s="15" t="s">
        <v>16</v>
      </c>
      <c r="E117" s="15">
        <v>4942982</v>
      </c>
      <c r="F117" s="15" t="s">
        <v>8</v>
      </c>
      <c r="G117" s="16">
        <v>190750</v>
      </c>
      <c r="H117" s="17">
        <f>763000*0.25</f>
        <v>190750</v>
      </c>
      <c r="I117" s="18">
        <f t="shared" si="7"/>
        <v>190000</v>
      </c>
      <c r="J117" s="24"/>
    </row>
    <row r="118" spans="1:10" x14ac:dyDescent="0.25">
      <c r="A118" s="8"/>
      <c r="B118" s="14" t="s">
        <v>70</v>
      </c>
      <c r="C118" s="15">
        <v>26587955</v>
      </c>
      <c r="D118" s="15" t="s">
        <v>16</v>
      </c>
      <c r="E118" s="15">
        <v>2966296</v>
      </c>
      <c r="F118" s="15" t="s">
        <v>10</v>
      </c>
      <c r="G118" s="16">
        <v>107750</v>
      </c>
      <c r="H118" s="17">
        <f>431000*0.25</f>
        <v>107750</v>
      </c>
      <c r="I118" s="18">
        <f t="shared" si="7"/>
        <v>107000</v>
      </c>
      <c r="J118" s="24"/>
    </row>
    <row r="119" spans="1:10" x14ac:dyDescent="0.25">
      <c r="A119" s="8"/>
      <c r="B119" s="14" t="s">
        <v>70</v>
      </c>
      <c r="C119" s="15">
        <v>26587955</v>
      </c>
      <c r="D119" s="15" t="s">
        <v>16</v>
      </c>
      <c r="E119" s="15">
        <v>9042274</v>
      </c>
      <c r="F119" s="15" t="s">
        <v>10</v>
      </c>
      <c r="G119" s="16">
        <v>236500</v>
      </c>
      <c r="H119" s="17">
        <f>946000*0.25</f>
        <v>236500</v>
      </c>
      <c r="I119" s="18">
        <f t="shared" si="7"/>
        <v>236000</v>
      </c>
      <c r="J119" s="24"/>
    </row>
    <row r="120" spans="1:10" x14ac:dyDescent="0.25">
      <c r="A120" s="8"/>
      <c r="B120" s="14" t="s">
        <v>62</v>
      </c>
      <c r="C120" s="15">
        <v>2426374</v>
      </c>
      <c r="D120" s="15" t="s">
        <v>12</v>
      </c>
      <c r="E120" s="15">
        <v>9012738</v>
      </c>
      <c r="F120" s="15" t="s">
        <v>7</v>
      </c>
      <c r="G120" s="16">
        <v>358000</v>
      </c>
      <c r="H120" s="17">
        <f>1294000*0.25</f>
        <v>323500</v>
      </c>
      <c r="I120" s="18">
        <f t="shared" si="7"/>
        <v>323000</v>
      </c>
      <c r="J120" s="24" t="s">
        <v>77</v>
      </c>
    </row>
    <row r="121" spans="1:10" x14ac:dyDescent="0.25">
      <c r="A121" s="8"/>
      <c r="B121" s="14" t="s">
        <v>62</v>
      </c>
      <c r="C121" s="15">
        <v>2426374</v>
      </c>
      <c r="D121" s="15" t="s">
        <v>12</v>
      </c>
      <c r="E121" s="15">
        <v>2236030</v>
      </c>
      <c r="F121" s="15" t="s">
        <v>9</v>
      </c>
      <c r="G121" s="16">
        <v>615000</v>
      </c>
      <c r="H121" s="17">
        <f>2725000*0.25</f>
        <v>681250</v>
      </c>
      <c r="I121" s="18">
        <f t="shared" si="7"/>
        <v>615000</v>
      </c>
      <c r="J121" s="24"/>
    </row>
    <row r="122" spans="1:10" x14ac:dyDescent="0.25">
      <c r="A122" s="8"/>
      <c r="B122" s="14" t="s">
        <v>62</v>
      </c>
      <c r="C122" s="15">
        <v>2426374</v>
      </c>
      <c r="D122" s="15" t="s">
        <v>12</v>
      </c>
      <c r="E122" s="15">
        <v>5354360</v>
      </c>
      <c r="F122" s="15" t="s">
        <v>63</v>
      </c>
      <c r="G122" s="16">
        <v>1661000</v>
      </c>
      <c r="H122" s="17">
        <f>6902000*0.25</f>
        <v>1725500</v>
      </c>
      <c r="I122" s="18">
        <f t="shared" si="7"/>
        <v>1661000</v>
      </c>
      <c r="J122" s="24"/>
    </row>
    <row r="123" spans="1:10" x14ac:dyDescent="0.25">
      <c r="A123" s="8"/>
      <c r="B123" s="14" t="s">
        <v>62</v>
      </c>
      <c r="C123" s="15">
        <v>2426374</v>
      </c>
      <c r="D123" s="15" t="s">
        <v>12</v>
      </c>
      <c r="E123" s="15">
        <v>8299844</v>
      </c>
      <c r="F123" s="15" t="s">
        <v>64</v>
      </c>
      <c r="G123" s="16">
        <v>1091000</v>
      </c>
      <c r="H123" s="17">
        <f>3607000*0.25</f>
        <v>901750</v>
      </c>
      <c r="I123" s="18">
        <f t="shared" si="7"/>
        <v>901000</v>
      </c>
      <c r="J123" s="25" t="s">
        <v>77</v>
      </c>
    </row>
    <row r="124" spans="1:10" x14ac:dyDescent="0.25">
      <c r="A124" s="8"/>
      <c r="B124" s="14" t="s">
        <v>75</v>
      </c>
      <c r="C124" s="15">
        <v>70810729</v>
      </c>
      <c r="D124" s="15" t="s">
        <v>42</v>
      </c>
      <c r="E124" s="15">
        <v>3063873</v>
      </c>
      <c r="F124" s="15" t="s">
        <v>35</v>
      </c>
      <c r="G124" s="16">
        <v>300000</v>
      </c>
      <c r="H124" s="17">
        <f>1728000*0.25</f>
        <v>432000</v>
      </c>
      <c r="I124" s="18">
        <f t="shared" si="7"/>
        <v>300000</v>
      </c>
      <c r="J124" s="24"/>
    </row>
    <row r="125" spans="1:10" x14ac:dyDescent="0.25">
      <c r="A125" s="8"/>
      <c r="B125" s="14" t="s">
        <v>75</v>
      </c>
      <c r="C125" s="15">
        <v>70810729</v>
      </c>
      <c r="D125" s="15" t="s">
        <v>42</v>
      </c>
      <c r="E125" s="15">
        <v>3034200</v>
      </c>
      <c r="F125" s="15" t="s">
        <v>46</v>
      </c>
      <c r="G125" s="16">
        <v>300000</v>
      </c>
      <c r="H125" s="17">
        <f>1931000*0.25</f>
        <v>482750</v>
      </c>
      <c r="I125" s="18">
        <f t="shared" si="7"/>
        <v>300000</v>
      </c>
      <c r="J125" s="24"/>
    </row>
    <row r="126" spans="1:10" x14ac:dyDescent="0.25">
      <c r="A126" s="8"/>
      <c r="B126" s="14" t="s">
        <v>75</v>
      </c>
      <c r="C126" s="15">
        <v>70810729</v>
      </c>
      <c r="D126" s="15" t="s">
        <v>42</v>
      </c>
      <c r="E126" s="15">
        <v>1314421</v>
      </c>
      <c r="F126" s="15" t="s">
        <v>14</v>
      </c>
      <c r="G126" s="16">
        <v>300000</v>
      </c>
      <c r="H126" s="17">
        <f>975000*0.25</f>
        <v>243750</v>
      </c>
      <c r="I126" s="18">
        <f t="shared" si="7"/>
        <v>243000</v>
      </c>
      <c r="J126" s="24" t="s">
        <v>77</v>
      </c>
    </row>
    <row r="127" spans="1:10" x14ac:dyDescent="0.25">
      <c r="A127" s="8"/>
      <c r="B127" s="14" t="s">
        <v>75</v>
      </c>
      <c r="C127" s="15">
        <v>70810729</v>
      </c>
      <c r="D127" s="15" t="s">
        <v>42</v>
      </c>
      <c r="E127" s="15">
        <v>1931266</v>
      </c>
      <c r="F127" s="15" t="s">
        <v>43</v>
      </c>
      <c r="G127" s="16">
        <v>300000</v>
      </c>
      <c r="H127" s="17">
        <f>1740000*0.25</f>
        <v>435000</v>
      </c>
      <c r="I127" s="18">
        <f t="shared" si="7"/>
        <v>300000</v>
      </c>
      <c r="J127" s="24"/>
    </row>
    <row r="128" spans="1:10" x14ac:dyDescent="0.25">
      <c r="A128" s="8"/>
      <c r="B128" s="14" t="s">
        <v>75</v>
      </c>
      <c r="C128" s="15">
        <v>70810729</v>
      </c>
      <c r="D128" s="15" t="s">
        <v>42</v>
      </c>
      <c r="E128" s="15">
        <v>7415157</v>
      </c>
      <c r="F128" s="15" t="s">
        <v>10</v>
      </c>
      <c r="G128" s="16">
        <v>300000</v>
      </c>
      <c r="H128" s="17">
        <f>756000*0.25</f>
        <v>189000</v>
      </c>
      <c r="I128" s="18">
        <f t="shared" si="7"/>
        <v>189000</v>
      </c>
      <c r="J128" s="24" t="s">
        <v>77</v>
      </c>
    </row>
    <row r="129" spans="1:10" x14ac:dyDescent="0.25">
      <c r="A129" s="8"/>
      <c r="B129" s="14" t="s">
        <v>73</v>
      </c>
      <c r="C129" s="15">
        <v>26641283</v>
      </c>
      <c r="D129" s="15" t="s">
        <v>5</v>
      </c>
      <c r="E129" s="15">
        <v>2151047</v>
      </c>
      <c r="F129" s="15" t="s">
        <v>13</v>
      </c>
      <c r="G129" s="16">
        <v>268000</v>
      </c>
      <c r="H129" s="17">
        <f>1073000*0.25</f>
        <v>268250</v>
      </c>
      <c r="I129" s="18">
        <f t="shared" si="7"/>
        <v>268000</v>
      </c>
      <c r="J129" s="24"/>
    </row>
    <row r="130" spans="1:10" x14ac:dyDescent="0.25">
      <c r="A130" s="8"/>
      <c r="B130" s="14" t="s">
        <v>72</v>
      </c>
      <c r="C130" s="15">
        <v>73633321</v>
      </c>
      <c r="D130" s="15" t="s">
        <v>42</v>
      </c>
      <c r="E130" s="15">
        <v>6084785</v>
      </c>
      <c r="F130" s="15" t="s">
        <v>59</v>
      </c>
      <c r="G130" s="16">
        <v>175000</v>
      </c>
      <c r="H130" s="17">
        <f>701000*0.25</f>
        <v>175250</v>
      </c>
      <c r="I130" s="18">
        <f t="shared" si="7"/>
        <v>175000</v>
      </c>
      <c r="J130" s="24"/>
    </row>
    <row r="131" spans="1:10" x14ac:dyDescent="0.25">
      <c r="A131" s="8"/>
      <c r="B131" s="14" t="s">
        <v>72</v>
      </c>
      <c r="C131" s="15">
        <v>73633321</v>
      </c>
      <c r="D131" s="15" t="s">
        <v>42</v>
      </c>
      <c r="E131" s="15">
        <v>7740912</v>
      </c>
      <c r="F131" s="15" t="s">
        <v>44</v>
      </c>
      <c r="G131" s="16">
        <v>300000</v>
      </c>
      <c r="H131" s="17">
        <v>0</v>
      </c>
      <c r="I131" s="18">
        <f t="shared" si="7"/>
        <v>0</v>
      </c>
      <c r="J131" s="25" t="s">
        <v>79</v>
      </c>
    </row>
    <row r="132" spans="1:10" x14ac:dyDescent="0.25">
      <c r="A132" s="8"/>
      <c r="B132" s="14" t="s">
        <v>23</v>
      </c>
      <c r="C132" s="15">
        <v>2424282</v>
      </c>
      <c r="D132" s="15" t="s">
        <v>12</v>
      </c>
      <c r="E132" s="15">
        <v>6425072</v>
      </c>
      <c r="F132" s="15" t="s">
        <v>14</v>
      </c>
      <c r="G132" s="16">
        <v>320000</v>
      </c>
      <c r="H132" s="17">
        <f>1254000*0.25</f>
        <v>313500</v>
      </c>
      <c r="I132" s="18">
        <f t="shared" si="7"/>
        <v>313000</v>
      </c>
      <c r="J132" s="25" t="s">
        <v>77</v>
      </c>
    </row>
    <row r="133" spans="1:10" x14ac:dyDescent="0.25">
      <c r="A133" s="8"/>
      <c r="B133" s="14" t="s">
        <v>11</v>
      </c>
      <c r="C133" s="15">
        <v>26562731</v>
      </c>
      <c r="D133" s="15" t="s">
        <v>12</v>
      </c>
      <c r="E133" s="15">
        <v>9371774</v>
      </c>
      <c r="F133" s="15" t="s">
        <v>13</v>
      </c>
      <c r="G133" s="16">
        <v>267000</v>
      </c>
      <c r="H133" s="17">
        <f>1069000*0.25</f>
        <v>267250</v>
      </c>
      <c r="I133" s="18">
        <f t="shared" si="7"/>
        <v>267000</v>
      </c>
      <c r="J133" s="25"/>
    </row>
    <row r="134" spans="1:10" x14ac:dyDescent="0.25">
      <c r="A134" s="8"/>
      <c r="B134" s="14" t="s">
        <v>11</v>
      </c>
      <c r="C134" s="15">
        <v>26562731</v>
      </c>
      <c r="D134" s="15" t="s">
        <v>12</v>
      </c>
      <c r="E134" s="15">
        <v>3306005</v>
      </c>
      <c r="F134" s="15" t="s">
        <v>14</v>
      </c>
      <c r="G134" s="16">
        <v>83000</v>
      </c>
      <c r="H134" s="17">
        <f>334000*0.25</f>
        <v>83500</v>
      </c>
      <c r="I134" s="18">
        <f t="shared" si="7"/>
        <v>83000</v>
      </c>
      <c r="J134" s="25"/>
    </row>
    <row r="135" spans="1:10" x14ac:dyDescent="0.25">
      <c r="A135" s="8"/>
      <c r="B135" s="14" t="s">
        <v>11</v>
      </c>
      <c r="C135" s="15">
        <v>26562731</v>
      </c>
      <c r="D135" s="15" t="s">
        <v>12</v>
      </c>
      <c r="E135" s="15">
        <v>7931741</v>
      </c>
      <c r="F135" s="15" t="s">
        <v>14</v>
      </c>
      <c r="G135" s="16">
        <v>645000</v>
      </c>
      <c r="H135" s="17">
        <f>2582000*0.25</f>
        <v>645500</v>
      </c>
      <c r="I135" s="18">
        <f t="shared" si="7"/>
        <v>645000</v>
      </c>
      <c r="J135" s="25"/>
    </row>
    <row r="136" spans="1:10" x14ac:dyDescent="0.25">
      <c r="A136" s="8"/>
      <c r="B136" s="14" t="s">
        <v>11</v>
      </c>
      <c r="C136" s="15">
        <v>26562731</v>
      </c>
      <c r="D136" s="15" t="s">
        <v>12</v>
      </c>
      <c r="E136" s="15">
        <v>8826190</v>
      </c>
      <c r="F136" s="15" t="s">
        <v>14</v>
      </c>
      <c r="G136" s="16">
        <v>337000</v>
      </c>
      <c r="H136" s="17">
        <f>1349000*0.25</f>
        <v>337250</v>
      </c>
      <c r="I136" s="18">
        <f t="shared" si="7"/>
        <v>337000</v>
      </c>
      <c r="J136" s="25"/>
    </row>
    <row r="137" spans="1:10" x14ac:dyDescent="0.25">
      <c r="A137" s="8"/>
      <c r="B137" s="14" t="s">
        <v>48</v>
      </c>
      <c r="C137" s="15">
        <v>63913381</v>
      </c>
      <c r="D137" s="15" t="s">
        <v>12</v>
      </c>
      <c r="E137" s="15">
        <v>8092827</v>
      </c>
      <c r="F137" s="15" t="s">
        <v>35</v>
      </c>
      <c r="G137" s="16">
        <v>414000</v>
      </c>
      <c r="H137" s="17">
        <f>1656000*0.25</f>
        <v>414000</v>
      </c>
      <c r="I137" s="18">
        <f t="shared" si="3"/>
        <v>414000</v>
      </c>
      <c r="J137" s="24"/>
    </row>
    <row r="138" spans="1:10" ht="15.75" thickBot="1" x14ac:dyDescent="0.3">
      <c r="A138" s="8"/>
      <c r="B138" s="19" t="s">
        <v>48</v>
      </c>
      <c r="C138" s="20">
        <v>63913381</v>
      </c>
      <c r="D138" s="20" t="s">
        <v>12</v>
      </c>
      <c r="E138" s="20">
        <v>9286544</v>
      </c>
      <c r="F138" s="20" t="s">
        <v>13</v>
      </c>
      <c r="G138" s="21">
        <v>324000</v>
      </c>
      <c r="H138" s="22">
        <f>1296000*0.25</f>
        <v>324000</v>
      </c>
      <c r="I138" s="23">
        <f t="shared" si="3"/>
        <v>324000</v>
      </c>
      <c r="J138" s="26"/>
    </row>
    <row r="139" spans="1:10" ht="15.75" thickBot="1" x14ac:dyDescent="0.3">
      <c r="G139" s="6">
        <f>SUM(G2:G138)</f>
        <v>87203232</v>
      </c>
      <c r="H139" s="12"/>
      <c r="I139" s="13">
        <f>SUM(I2:I138)</f>
        <v>82817000</v>
      </c>
    </row>
    <row r="140" spans="1:10" ht="9" customHeight="1" x14ac:dyDescent="0.25"/>
    <row r="141" spans="1:10" x14ac:dyDescent="0.25">
      <c r="B141" s="11" t="s">
        <v>83</v>
      </c>
    </row>
  </sheetData>
  <autoFilter ref="B1:J139" xr:uid="{A455379D-5D8A-4A6A-A783-8F87F9643597}"/>
  <sortState xmlns:xlrd2="http://schemas.microsoft.com/office/spreadsheetml/2017/richdata2" ref="A2:J138">
    <sortCondition ref="B2:B138"/>
    <sortCondition ref="F2:F138"/>
    <sortCondition ref="E2:E138"/>
  </sortState>
  <pageMargins left="0.19685039370078741" right="0.19685039370078741" top="0.78740157480314965" bottom="0.6692913385826772" header="0.39370078740157483" footer="0.39370078740157483"/>
  <pageSetup paperSize="9" scale="80" fitToHeight="0" orientation="landscape" r:id="rId1"/>
  <headerFooter>
    <oddHeader>&amp;C&amp;"-,Tučné"&amp;12Výsledky řízení Jihočeského kraje - NÁVRATNÁ FINANČNÍ VÝPOMOC pro r.2024</oddHeader>
    <oddFooter>&amp;C&amp;P</oddFooter>
  </headerFooter>
  <ignoredErrors>
    <ignoredError sqref="H17 H3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Výpočet návrhu</vt:lpstr>
      <vt:lpstr>'Výpočet návrhu'!Názvy_tisku</vt:lpstr>
      <vt:lpstr>'Výpočet návrhu'!Oblast_tisku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Zumrová Renata</dc:creator>
  <cp:lastModifiedBy>Moravcová Ivana</cp:lastModifiedBy>
  <cp:lastPrinted>2023-12-18T08:22:42Z</cp:lastPrinted>
  <dcterms:created xsi:type="dcterms:W3CDTF">2021-11-01T10:46:05Z</dcterms:created>
  <dcterms:modified xsi:type="dcterms:W3CDTF">2023-12-18T09:11:06Z</dcterms:modified>
</cp:coreProperties>
</file>